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linski\Desktop\Grafit\LekTrans_adaptacja\"/>
    </mc:Choice>
  </mc:AlternateContent>
  <bookViews>
    <workbookView xWindow="0" yWindow="0" windowWidth="23016" windowHeight="8400" firstSheet="4" activeTab="4"/>
  </bookViews>
  <sheets>
    <sheet name="ZAŁ1_BUd_korekta2017" sheetId="5" r:id="rId1"/>
    <sheet name="ZAŁ1_SAN_korekta 2017" sheetId="6" r:id="rId2"/>
    <sheet name="ZAŁ 1_ELEKTR_korekta2017" sheetId="7" r:id="rId3"/>
    <sheet name="ZAŁ 1_PODSUMOWANIE" sheetId="4" r:id="rId4"/>
    <sheet name="ZAŁ 3_podział robót ELE 2017" sheetId="10" r:id="rId5"/>
  </sheets>
  <calcPr calcId="152511"/>
</workbook>
</file>

<file path=xl/calcChain.xml><?xml version="1.0" encoding="utf-8"?>
<calcChain xmlns="http://schemas.openxmlformats.org/spreadsheetml/2006/main">
  <c r="T38" i="5" l="1"/>
  <c r="E131" i="5" l="1"/>
  <c r="G131" i="5" s="1"/>
  <c r="F131" i="5"/>
  <c r="E132" i="5"/>
  <c r="F132" i="5"/>
  <c r="G132" i="5" s="1"/>
  <c r="E133" i="5"/>
  <c r="G133" i="5" s="1"/>
  <c r="F133" i="5"/>
  <c r="E134" i="5"/>
  <c r="G134" i="5" s="1"/>
  <c r="F134" i="5"/>
  <c r="E135" i="5"/>
  <c r="F135" i="5"/>
  <c r="G135" i="5"/>
  <c r="E136" i="5"/>
  <c r="G136" i="5" s="1"/>
  <c r="F136" i="5"/>
  <c r="E137" i="5"/>
  <c r="F137" i="5"/>
  <c r="G137" i="5"/>
  <c r="E138" i="5"/>
  <c r="F138" i="5"/>
  <c r="G138" i="5"/>
  <c r="E139" i="5"/>
  <c r="G139" i="5" s="1"/>
  <c r="F139" i="5"/>
  <c r="E140" i="5"/>
  <c r="F140" i="5"/>
  <c r="G140" i="5" s="1"/>
  <c r="G130" i="5"/>
  <c r="F130" i="5"/>
  <c r="E130" i="5"/>
  <c r="F129" i="5"/>
  <c r="E129" i="5"/>
  <c r="G129" i="5" s="1"/>
  <c r="E122" i="5"/>
  <c r="G122" i="5" s="1"/>
  <c r="F122" i="5"/>
  <c r="E123" i="5"/>
  <c r="F123" i="5"/>
  <c r="G123" i="5" s="1"/>
  <c r="E124" i="5"/>
  <c r="F124" i="5"/>
  <c r="G124" i="5"/>
  <c r="E125" i="5"/>
  <c r="F125" i="5"/>
  <c r="G125" i="5"/>
  <c r="E126" i="5"/>
  <c r="G126" i="5" s="1"/>
  <c r="F126" i="5"/>
  <c r="G121" i="5"/>
  <c r="F121" i="5"/>
  <c r="E121" i="5"/>
  <c r="F120" i="5"/>
  <c r="E120" i="5"/>
  <c r="G120" i="5" s="1"/>
  <c r="F119" i="5"/>
  <c r="E119" i="5"/>
  <c r="G119" i="5" s="1"/>
  <c r="F118" i="5"/>
  <c r="E118" i="5"/>
  <c r="G118" i="5" s="1"/>
  <c r="F117" i="5"/>
  <c r="E117" i="5"/>
  <c r="G117" i="5" s="1"/>
  <c r="F116" i="5"/>
  <c r="G116" i="5" s="1"/>
  <c r="E116" i="5"/>
  <c r="F115" i="5"/>
  <c r="E115" i="5"/>
  <c r="G115" i="5" s="1"/>
  <c r="E107" i="5"/>
  <c r="F107" i="5"/>
  <c r="G107" i="5"/>
  <c r="E108" i="5"/>
  <c r="F108" i="5"/>
  <c r="G108" i="5"/>
  <c r="E109" i="5"/>
  <c r="G109" i="5" s="1"/>
  <c r="F109" i="5"/>
  <c r="E110" i="5"/>
  <c r="F110" i="5"/>
  <c r="G110" i="5"/>
  <c r="E111" i="5"/>
  <c r="F111" i="5"/>
  <c r="G111" i="5"/>
  <c r="E112" i="5"/>
  <c r="G112" i="5" s="1"/>
  <c r="F112" i="5"/>
  <c r="F106" i="5"/>
  <c r="G106" i="5" s="1"/>
  <c r="E106" i="5"/>
  <c r="F102" i="5"/>
  <c r="G102" i="5" s="1"/>
  <c r="E97" i="5"/>
  <c r="F97" i="5"/>
  <c r="G97" i="5" s="1"/>
  <c r="E98" i="5"/>
  <c r="F98" i="5"/>
  <c r="G98" i="5"/>
  <c r="E99" i="5"/>
  <c r="G99" i="5" s="1"/>
  <c r="F99" i="5"/>
  <c r="E100" i="5"/>
  <c r="F100" i="5"/>
  <c r="G100" i="5"/>
  <c r="E101" i="5"/>
  <c r="F101" i="5"/>
  <c r="G101" i="5" s="1"/>
  <c r="G96" i="5"/>
  <c r="F96" i="5"/>
  <c r="E96" i="5"/>
  <c r="E87" i="5"/>
  <c r="G87" i="5" s="1"/>
  <c r="F87" i="5"/>
  <c r="E88" i="5"/>
  <c r="F88" i="5"/>
  <c r="G88" i="5"/>
  <c r="E89" i="5"/>
  <c r="G89" i="5" s="1"/>
  <c r="F89" i="5"/>
  <c r="E90" i="5"/>
  <c r="F90" i="5"/>
  <c r="G90" i="5"/>
  <c r="E91" i="5"/>
  <c r="G91" i="5" s="1"/>
  <c r="F91" i="5"/>
  <c r="E92" i="5"/>
  <c r="G92" i="5" s="1"/>
  <c r="F92" i="5"/>
  <c r="E93" i="5"/>
  <c r="F93" i="5"/>
  <c r="G93" i="5"/>
  <c r="F86" i="5"/>
  <c r="G86" i="5" s="1"/>
  <c r="E86" i="5"/>
  <c r="E41" i="5"/>
  <c r="G41" i="5" s="1"/>
  <c r="F41" i="5"/>
  <c r="E42" i="5"/>
  <c r="G42" i="5" s="1"/>
  <c r="F42" i="5"/>
  <c r="E43" i="5"/>
  <c r="G43" i="5" s="1"/>
  <c r="F43" i="5"/>
  <c r="E44" i="5"/>
  <c r="F44" i="5"/>
  <c r="G44" i="5"/>
  <c r="E45" i="5"/>
  <c r="F45" i="5"/>
  <c r="G45" i="5"/>
  <c r="E46" i="5"/>
  <c r="F46" i="5"/>
  <c r="E47" i="5"/>
  <c r="F47" i="5"/>
  <c r="G47" i="5" s="1"/>
  <c r="E48" i="5"/>
  <c r="F48" i="5"/>
  <c r="G48" i="5"/>
  <c r="E49" i="5"/>
  <c r="F49" i="5"/>
  <c r="G49" i="5"/>
  <c r="E50" i="5"/>
  <c r="G50" i="5" s="1"/>
  <c r="F50" i="5"/>
  <c r="E51" i="5"/>
  <c r="G51" i="5" s="1"/>
  <c r="F51" i="5"/>
  <c r="I51" i="5" s="1"/>
  <c r="L51" i="5" s="1"/>
  <c r="E52" i="5"/>
  <c r="F52" i="5"/>
  <c r="G52" i="5"/>
  <c r="E53" i="5"/>
  <c r="F53" i="5"/>
  <c r="G53" i="5"/>
  <c r="E54" i="5"/>
  <c r="F54" i="5"/>
  <c r="E55" i="5"/>
  <c r="G55" i="5" s="1"/>
  <c r="F55" i="5"/>
  <c r="E56" i="5"/>
  <c r="F56" i="5"/>
  <c r="G56" i="5"/>
  <c r="E57" i="5"/>
  <c r="F57" i="5"/>
  <c r="G57" i="5"/>
  <c r="E58" i="5"/>
  <c r="G58" i="5" s="1"/>
  <c r="F58" i="5"/>
  <c r="E59" i="5"/>
  <c r="G59" i="5" s="1"/>
  <c r="F59" i="5"/>
  <c r="E60" i="5"/>
  <c r="F60" i="5"/>
  <c r="G60" i="5"/>
  <c r="E61" i="5"/>
  <c r="F61" i="5"/>
  <c r="G61" i="5"/>
  <c r="E62" i="5"/>
  <c r="F62" i="5"/>
  <c r="E63" i="5"/>
  <c r="G63" i="5" s="1"/>
  <c r="F63" i="5"/>
  <c r="E64" i="5"/>
  <c r="F64" i="5"/>
  <c r="G64" i="5"/>
  <c r="E65" i="5"/>
  <c r="F65" i="5"/>
  <c r="G65" i="5"/>
  <c r="F66" i="5"/>
  <c r="E66" i="5"/>
  <c r="G66" i="5" s="1"/>
  <c r="E70" i="5"/>
  <c r="F70" i="5"/>
  <c r="G70" i="5"/>
  <c r="E71" i="5"/>
  <c r="F71" i="5"/>
  <c r="G71" i="5"/>
  <c r="E72" i="5"/>
  <c r="G72" i="5" s="1"/>
  <c r="F72" i="5"/>
  <c r="E73" i="5"/>
  <c r="F73" i="5"/>
  <c r="G73" i="5"/>
  <c r="E74" i="5"/>
  <c r="F74" i="5"/>
  <c r="G74" i="5"/>
  <c r="E75" i="5"/>
  <c r="G75" i="5" s="1"/>
  <c r="F75" i="5"/>
  <c r="E76" i="5"/>
  <c r="F76" i="5"/>
  <c r="G76" i="5"/>
  <c r="E77" i="5"/>
  <c r="F77" i="5"/>
  <c r="G77" i="5"/>
  <c r="E78" i="5"/>
  <c r="F78" i="5"/>
  <c r="G78" i="5"/>
  <c r="E79" i="5"/>
  <c r="F79" i="5"/>
  <c r="G79" i="5"/>
  <c r="E80" i="5"/>
  <c r="G80" i="5" s="1"/>
  <c r="F80" i="5"/>
  <c r="E81" i="5"/>
  <c r="F81" i="5"/>
  <c r="G81" i="5"/>
  <c r="E82" i="5"/>
  <c r="F82" i="5"/>
  <c r="G82" i="5"/>
  <c r="E83" i="5"/>
  <c r="G83" i="5" s="1"/>
  <c r="F83" i="5"/>
  <c r="F69" i="5"/>
  <c r="E69" i="5"/>
  <c r="G69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N28" i="5"/>
  <c r="O28" i="5"/>
  <c r="N29" i="5"/>
  <c r="O29" i="5"/>
  <c r="N30" i="5"/>
  <c r="O30" i="5"/>
  <c r="N31" i="5"/>
  <c r="O31" i="5"/>
  <c r="N32" i="5"/>
  <c r="O32" i="5"/>
  <c r="N33" i="5"/>
  <c r="O33" i="5"/>
  <c r="N34" i="5"/>
  <c r="O34" i="5"/>
  <c r="N35" i="5"/>
  <c r="O35" i="5"/>
  <c r="N36" i="5"/>
  <c r="O36" i="5"/>
  <c r="N37" i="5"/>
  <c r="O37" i="5"/>
  <c r="N39" i="5"/>
  <c r="N40" i="5"/>
  <c r="O40" i="5"/>
  <c r="N66" i="5"/>
  <c r="N67" i="5"/>
  <c r="N68" i="5"/>
  <c r="O68" i="5"/>
  <c r="N84" i="5"/>
  <c r="N85" i="5"/>
  <c r="O85" i="5"/>
  <c r="N94" i="5"/>
  <c r="N95" i="5"/>
  <c r="O95" i="5"/>
  <c r="N103" i="5"/>
  <c r="N104" i="5"/>
  <c r="O104" i="5"/>
  <c r="N105" i="5"/>
  <c r="O105" i="5"/>
  <c r="N113" i="5"/>
  <c r="N114" i="5"/>
  <c r="O114" i="5"/>
  <c r="N127" i="5"/>
  <c r="N128" i="5"/>
  <c r="O128" i="5"/>
  <c r="N141" i="5"/>
  <c r="N142" i="5"/>
  <c r="O8" i="5"/>
  <c r="N8" i="5"/>
  <c r="L8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K51" i="5"/>
  <c r="H51" i="5" s="1"/>
  <c r="B51" i="5"/>
  <c r="C51" i="5"/>
  <c r="D51" i="5"/>
  <c r="A51" i="5"/>
  <c r="F38" i="5"/>
  <c r="E38" i="5"/>
  <c r="G38" i="5" s="1"/>
  <c r="F37" i="5"/>
  <c r="E37" i="5"/>
  <c r="G37" i="5" s="1"/>
  <c r="E21" i="5"/>
  <c r="F21" i="5"/>
  <c r="E22" i="5"/>
  <c r="F22" i="5"/>
  <c r="E23" i="5"/>
  <c r="F23" i="5"/>
  <c r="G23" i="5" s="1"/>
  <c r="E24" i="5"/>
  <c r="G24" i="5" s="1"/>
  <c r="F24" i="5"/>
  <c r="E25" i="5"/>
  <c r="F25" i="5"/>
  <c r="E26" i="5"/>
  <c r="F26" i="5"/>
  <c r="E27" i="5"/>
  <c r="F27" i="5"/>
  <c r="G27" i="5" s="1"/>
  <c r="E28" i="5"/>
  <c r="F28" i="5"/>
  <c r="G28" i="5" s="1"/>
  <c r="E29" i="5"/>
  <c r="F29" i="5"/>
  <c r="E30" i="5"/>
  <c r="F30" i="5"/>
  <c r="E31" i="5"/>
  <c r="F31" i="5"/>
  <c r="G31" i="5" s="1"/>
  <c r="E32" i="5"/>
  <c r="G32" i="5" s="1"/>
  <c r="F32" i="5"/>
  <c r="E33" i="5"/>
  <c r="F33" i="5"/>
  <c r="E34" i="5"/>
  <c r="F34" i="5"/>
  <c r="F20" i="5"/>
  <c r="E20" i="5"/>
  <c r="G25" i="5"/>
  <c r="G21" i="5"/>
  <c r="G20" i="5"/>
  <c r="F9" i="5"/>
  <c r="E10" i="5"/>
  <c r="F10" i="5"/>
  <c r="E11" i="5"/>
  <c r="F11" i="5"/>
  <c r="G11" i="5" s="1"/>
  <c r="F12" i="5"/>
  <c r="E13" i="5"/>
  <c r="F13" i="5"/>
  <c r="E14" i="5"/>
  <c r="G14" i="5" s="1"/>
  <c r="F14" i="5"/>
  <c r="F15" i="5"/>
  <c r="E16" i="5"/>
  <c r="F16" i="5"/>
  <c r="E17" i="5"/>
  <c r="F17" i="5"/>
  <c r="G17" i="5" s="1"/>
  <c r="F8" i="5"/>
  <c r="T112" i="5"/>
  <c r="T111" i="5"/>
  <c r="T109" i="5"/>
  <c r="T108" i="5"/>
  <c r="T106" i="5"/>
  <c r="T140" i="5"/>
  <c r="T139" i="5"/>
  <c r="T138" i="5"/>
  <c r="T137" i="5"/>
  <c r="T136" i="5"/>
  <c r="T135" i="5"/>
  <c r="T134" i="5"/>
  <c r="T133" i="5"/>
  <c r="T132" i="5"/>
  <c r="T129" i="5"/>
  <c r="T126" i="5"/>
  <c r="T125" i="5"/>
  <c r="T123" i="5"/>
  <c r="T120" i="5"/>
  <c r="T119" i="5"/>
  <c r="T115" i="5"/>
  <c r="T98" i="5"/>
  <c r="T97" i="5"/>
  <c r="T96" i="5"/>
  <c r="T93" i="5"/>
  <c r="T92" i="5"/>
  <c r="T91" i="5"/>
  <c r="T90" i="5"/>
  <c r="T89" i="5"/>
  <c r="T88" i="5"/>
  <c r="T87" i="5"/>
  <c r="T86" i="5"/>
  <c r="T83" i="5"/>
  <c r="T79" i="5"/>
  <c r="T73" i="5"/>
  <c r="T76" i="5"/>
  <c r="T75" i="5"/>
  <c r="T65" i="5"/>
  <c r="T63" i="5"/>
  <c r="T62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15" i="5"/>
  <c r="E15" i="5" s="1"/>
  <c r="T12" i="5"/>
  <c r="E12" i="5" s="1"/>
  <c r="G12" i="5" s="1"/>
  <c r="T9" i="5"/>
  <c r="E9" i="5" s="1"/>
  <c r="G9" i="5" s="1"/>
  <c r="T8" i="5"/>
  <c r="E8" i="5" s="1"/>
  <c r="G8" i="5" s="1"/>
  <c r="T33" i="5"/>
  <c r="T32" i="5"/>
  <c r="T31" i="5"/>
  <c r="T30" i="5"/>
  <c r="G22" i="5"/>
  <c r="G26" i="5"/>
  <c r="G29" i="5"/>
  <c r="G30" i="5"/>
  <c r="G33" i="5"/>
  <c r="G34" i="5"/>
  <c r="G10" i="5"/>
  <c r="J51" i="5"/>
  <c r="O51" i="5" s="1"/>
  <c r="N51" i="5"/>
  <c r="G62" i="5"/>
  <c r="G54" i="5"/>
  <c r="G46" i="5"/>
  <c r="M51" i="5"/>
  <c r="G13" i="5"/>
  <c r="G16" i="5"/>
  <c r="G15" i="5"/>
  <c r="M173" i="6"/>
  <c r="J173" i="6"/>
  <c r="G173" i="6"/>
  <c r="I53" i="7" l="1"/>
  <c r="L53" i="7"/>
  <c r="K53" i="7"/>
  <c r="H53" i="7" s="1"/>
  <c r="J53" i="7" s="1"/>
  <c r="J54" i="7" s="1"/>
  <c r="M47" i="7"/>
  <c r="M49" i="7"/>
  <c r="M46" i="7"/>
  <c r="M38" i="7"/>
  <c r="M23" i="7"/>
  <c r="M25" i="7"/>
  <c r="M26" i="7"/>
  <c r="M31" i="7"/>
  <c r="E8" i="4"/>
  <c r="D9" i="4"/>
  <c r="D8" i="4"/>
  <c r="C9" i="4"/>
  <c r="C8" i="4"/>
  <c r="I48" i="7"/>
  <c r="H48" i="7"/>
  <c r="L48" i="7"/>
  <c r="M48" i="7" s="1"/>
  <c r="H49" i="7"/>
  <c r="J49" i="7" s="1"/>
  <c r="I49" i="7"/>
  <c r="L49" i="7"/>
  <c r="I50" i="7"/>
  <c r="H50" i="7"/>
  <c r="L50" i="7"/>
  <c r="M50" i="7" s="1"/>
  <c r="L47" i="7"/>
  <c r="I47" i="7"/>
  <c r="H47" i="7"/>
  <c r="J47" i="7" s="1"/>
  <c r="L46" i="7"/>
  <c r="J46" i="7"/>
  <c r="I46" i="7"/>
  <c r="H46" i="7"/>
  <c r="L43" i="7"/>
  <c r="M43" i="7" s="1"/>
  <c r="M44" i="7" s="1"/>
  <c r="I43" i="7"/>
  <c r="H43" i="7"/>
  <c r="J43" i="7" s="1"/>
  <c r="L42" i="7"/>
  <c r="M42" i="7" s="1"/>
  <c r="H42" i="7"/>
  <c r="I42" i="7"/>
  <c r="I36" i="7"/>
  <c r="K36" i="7"/>
  <c r="H36" i="7" s="1"/>
  <c r="L36" i="7"/>
  <c r="M36" i="7" s="1"/>
  <c r="I37" i="7"/>
  <c r="K37" i="7"/>
  <c r="M37" i="7" s="1"/>
  <c r="L37" i="7"/>
  <c r="I38" i="7"/>
  <c r="K38" i="7"/>
  <c r="H38" i="7" s="1"/>
  <c r="L38" i="7"/>
  <c r="I39" i="7"/>
  <c r="K39" i="7"/>
  <c r="H39" i="7" s="1"/>
  <c r="L39" i="7"/>
  <c r="L35" i="7"/>
  <c r="M35" i="7" s="1"/>
  <c r="K35" i="7"/>
  <c r="I35" i="7"/>
  <c r="H35" i="7"/>
  <c r="L34" i="7"/>
  <c r="K34" i="7"/>
  <c r="H34" i="7" s="1"/>
  <c r="J34" i="7" s="1"/>
  <c r="I34" i="7"/>
  <c r="I20" i="7"/>
  <c r="K20" i="7"/>
  <c r="H20" i="7" s="1"/>
  <c r="J20" i="7" s="1"/>
  <c r="L20" i="7"/>
  <c r="H21" i="7"/>
  <c r="J21" i="7" s="1"/>
  <c r="I21" i="7"/>
  <c r="K21" i="7"/>
  <c r="L21" i="7"/>
  <c r="M21" i="7" s="1"/>
  <c r="I22" i="7"/>
  <c r="H22" i="7"/>
  <c r="J22" i="7" s="1"/>
  <c r="L22" i="7"/>
  <c r="M22" i="7" s="1"/>
  <c r="I23" i="7"/>
  <c r="K23" i="7"/>
  <c r="H23" i="7" s="1"/>
  <c r="J23" i="7" s="1"/>
  <c r="L23" i="7"/>
  <c r="I24" i="7"/>
  <c r="H24" i="7"/>
  <c r="J24" i="7" s="1"/>
  <c r="L24" i="7"/>
  <c r="M24" i="7" s="1"/>
  <c r="H25" i="7"/>
  <c r="J25" i="7" s="1"/>
  <c r="I25" i="7"/>
  <c r="L25" i="7"/>
  <c r="I26" i="7"/>
  <c r="H26" i="7"/>
  <c r="J26" i="7" s="1"/>
  <c r="L26" i="7"/>
  <c r="I27" i="7"/>
  <c r="J27" i="7" s="1"/>
  <c r="K27" i="7"/>
  <c r="H27" i="7" s="1"/>
  <c r="L27" i="7"/>
  <c r="I28" i="7"/>
  <c r="H28" i="7"/>
  <c r="J28" i="7" s="1"/>
  <c r="L28" i="7"/>
  <c r="M28" i="7" s="1"/>
  <c r="H29" i="7"/>
  <c r="J29" i="7" s="1"/>
  <c r="I29" i="7"/>
  <c r="L29" i="7"/>
  <c r="M29" i="7" s="1"/>
  <c r="I30" i="7"/>
  <c r="H30" i="7"/>
  <c r="J30" i="7" s="1"/>
  <c r="L30" i="7"/>
  <c r="M30" i="7" s="1"/>
  <c r="I31" i="7"/>
  <c r="H31" i="7"/>
  <c r="J31" i="7" s="1"/>
  <c r="L31" i="7"/>
  <c r="L19" i="7"/>
  <c r="K19" i="7"/>
  <c r="H19" i="7" s="1"/>
  <c r="J19" i="7" s="1"/>
  <c r="I19" i="7"/>
  <c r="L18" i="7"/>
  <c r="M18" i="7" s="1"/>
  <c r="K18" i="7"/>
  <c r="J18" i="7"/>
  <c r="I18" i="7"/>
  <c r="H18" i="7"/>
  <c r="M15" i="7"/>
  <c r="L15" i="7"/>
  <c r="K15" i="7"/>
  <c r="H15" i="7" s="1"/>
  <c r="I15" i="7"/>
  <c r="M14" i="7"/>
  <c r="L14" i="7"/>
  <c r="K14" i="7"/>
  <c r="I14" i="7"/>
  <c r="H14" i="7"/>
  <c r="J14" i="7" s="1"/>
  <c r="I8" i="7"/>
  <c r="K8" i="7"/>
  <c r="M8" i="7" s="1"/>
  <c r="L8" i="7"/>
  <c r="H9" i="7"/>
  <c r="J9" i="7" s="1"/>
  <c r="I9" i="7"/>
  <c r="K9" i="7"/>
  <c r="M9" i="7" s="1"/>
  <c r="L9" i="7"/>
  <c r="I10" i="7"/>
  <c r="K10" i="7"/>
  <c r="H10" i="7" s="1"/>
  <c r="J10" i="7" s="1"/>
  <c r="L10" i="7"/>
  <c r="M10" i="7" s="1"/>
  <c r="I11" i="7"/>
  <c r="K11" i="7"/>
  <c r="H11" i="7" s="1"/>
  <c r="L11" i="7"/>
  <c r="I7" i="7"/>
  <c r="H7" i="7"/>
  <c r="J7" i="7" s="1"/>
  <c r="L7" i="7"/>
  <c r="K7" i="7"/>
  <c r="M7" i="7" s="1"/>
  <c r="G12" i="7"/>
  <c r="M16" i="7"/>
  <c r="G16" i="7"/>
  <c r="G32" i="7"/>
  <c r="G40" i="7"/>
  <c r="G44" i="7"/>
  <c r="G51" i="7"/>
  <c r="G53" i="7"/>
  <c r="G54" i="7" s="1"/>
  <c r="K171" i="6"/>
  <c r="I171" i="6"/>
  <c r="L171" i="6"/>
  <c r="H171" i="6"/>
  <c r="J171" i="6" s="1"/>
  <c r="J172" i="6" s="1"/>
  <c r="G171" i="6"/>
  <c r="G172" i="6" s="1"/>
  <c r="G174" i="6" s="1"/>
  <c r="H159" i="6"/>
  <c r="I159" i="6"/>
  <c r="J159" i="6"/>
  <c r="L159" i="6"/>
  <c r="M159" i="6"/>
  <c r="H160" i="6"/>
  <c r="J160" i="6" s="1"/>
  <c r="I160" i="6"/>
  <c r="L160" i="6"/>
  <c r="M160" i="6"/>
  <c r="H161" i="6"/>
  <c r="I161" i="6"/>
  <c r="J161" i="6"/>
  <c r="L161" i="6"/>
  <c r="M161" i="6"/>
  <c r="H162" i="6"/>
  <c r="J162" i="6" s="1"/>
  <c r="I162" i="6"/>
  <c r="L162" i="6"/>
  <c r="M162" i="6" s="1"/>
  <c r="H163" i="6"/>
  <c r="I163" i="6"/>
  <c r="J163" i="6"/>
  <c r="L163" i="6"/>
  <c r="M163" i="6" s="1"/>
  <c r="H164" i="6"/>
  <c r="J164" i="6" s="1"/>
  <c r="I164" i="6"/>
  <c r="L164" i="6"/>
  <c r="M164" i="6"/>
  <c r="H165" i="6"/>
  <c r="J165" i="6" s="1"/>
  <c r="I165" i="6"/>
  <c r="L165" i="6"/>
  <c r="M165" i="6"/>
  <c r="H166" i="6"/>
  <c r="J166" i="6" s="1"/>
  <c r="I166" i="6"/>
  <c r="L166" i="6"/>
  <c r="M166" i="6" s="1"/>
  <c r="H167" i="6"/>
  <c r="I167" i="6"/>
  <c r="J167" i="6"/>
  <c r="L167" i="6"/>
  <c r="M167" i="6"/>
  <c r="L158" i="6"/>
  <c r="M158" i="6" s="1"/>
  <c r="I158" i="6"/>
  <c r="H158" i="6"/>
  <c r="J158" i="6" s="1"/>
  <c r="H128" i="6"/>
  <c r="J128" i="6" s="1"/>
  <c r="I128" i="6"/>
  <c r="L128" i="6"/>
  <c r="M128" i="6"/>
  <c r="H129" i="6"/>
  <c r="J129" i="6" s="1"/>
  <c r="I129" i="6"/>
  <c r="M129" i="6"/>
  <c r="L129" i="6"/>
  <c r="I130" i="6"/>
  <c r="M130" i="6"/>
  <c r="L130" i="6"/>
  <c r="I131" i="6"/>
  <c r="H131" i="6"/>
  <c r="J131" i="6" s="1"/>
  <c r="L131" i="6"/>
  <c r="H132" i="6"/>
  <c r="J132" i="6" s="1"/>
  <c r="I132" i="6"/>
  <c r="L132" i="6"/>
  <c r="M132" i="6"/>
  <c r="H133" i="6"/>
  <c r="J133" i="6" s="1"/>
  <c r="I133" i="6"/>
  <c r="L133" i="6"/>
  <c r="M133" i="6" s="1"/>
  <c r="I134" i="6"/>
  <c r="M134" i="6"/>
  <c r="L134" i="6"/>
  <c r="I135" i="6"/>
  <c r="H135" i="6"/>
  <c r="J135" i="6" s="1"/>
  <c r="L135" i="6"/>
  <c r="H136" i="6"/>
  <c r="J136" i="6" s="1"/>
  <c r="I136" i="6"/>
  <c r="L136" i="6"/>
  <c r="M136" i="6"/>
  <c r="H137" i="6"/>
  <c r="J137" i="6" s="1"/>
  <c r="I137" i="6"/>
  <c r="L137" i="6"/>
  <c r="M137" i="6" s="1"/>
  <c r="I138" i="6"/>
  <c r="M138" i="6"/>
  <c r="L138" i="6"/>
  <c r="I139" i="6"/>
  <c r="H139" i="6"/>
  <c r="J139" i="6" s="1"/>
  <c r="L139" i="6"/>
  <c r="H140" i="6"/>
  <c r="J140" i="6" s="1"/>
  <c r="I140" i="6"/>
  <c r="L140" i="6"/>
  <c r="M140" i="6"/>
  <c r="H141" i="6"/>
  <c r="J141" i="6" s="1"/>
  <c r="I141" i="6"/>
  <c r="L141" i="6"/>
  <c r="M141" i="6" s="1"/>
  <c r="I142" i="6"/>
  <c r="M142" i="6"/>
  <c r="L142" i="6"/>
  <c r="I143" i="6"/>
  <c r="H143" i="6"/>
  <c r="J143" i="6" s="1"/>
  <c r="L143" i="6"/>
  <c r="H144" i="6"/>
  <c r="J144" i="6" s="1"/>
  <c r="I144" i="6"/>
  <c r="L144" i="6"/>
  <c r="M144" i="6"/>
  <c r="H145" i="6"/>
  <c r="J145" i="6" s="1"/>
  <c r="I145" i="6"/>
  <c r="M145" i="6"/>
  <c r="L145" i="6"/>
  <c r="I146" i="6"/>
  <c r="M146" i="6"/>
  <c r="L146" i="6"/>
  <c r="I147" i="6"/>
  <c r="H147" i="6"/>
  <c r="J147" i="6" s="1"/>
  <c r="L147" i="6"/>
  <c r="H148" i="6"/>
  <c r="J148" i="6" s="1"/>
  <c r="I148" i="6"/>
  <c r="L148" i="6"/>
  <c r="M148" i="6"/>
  <c r="H149" i="6"/>
  <c r="J149" i="6" s="1"/>
  <c r="I149" i="6"/>
  <c r="M149" i="6"/>
  <c r="L149" i="6"/>
  <c r="I150" i="6"/>
  <c r="M150" i="6"/>
  <c r="L150" i="6"/>
  <c r="I151" i="6"/>
  <c r="H151" i="6"/>
  <c r="J151" i="6" s="1"/>
  <c r="L151" i="6"/>
  <c r="H152" i="6"/>
  <c r="J152" i="6" s="1"/>
  <c r="I152" i="6"/>
  <c r="L152" i="6"/>
  <c r="M152" i="6"/>
  <c r="H153" i="6"/>
  <c r="J153" i="6" s="1"/>
  <c r="I153" i="6"/>
  <c r="M153" i="6"/>
  <c r="L153" i="6"/>
  <c r="I154" i="6"/>
  <c r="M154" i="6"/>
  <c r="L154" i="6"/>
  <c r="I155" i="6"/>
  <c r="H155" i="6"/>
  <c r="J155" i="6" s="1"/>
  <c r="L155" i="6"/>
  <c r="J127" i="6"/>
  <c r="I127" i="6"/>
  <c r="H127" i="6"/>
  <c r="M127" i="6"/>
  <c r="L127" i="6"/>
  <c r="I80" i="6"/>
  <c r="K80" i="6"/>
  <c r="H80" i="6" s="1"/>
  <c r="J80" i="6" s="1"/>
  <c r="L80" i="6"/>
  <c r="I81" i="6"/>
  <c r="K81" i="6"/>
  <c r="M81" i="6" s="1"/>
  <c r="L81" i="6"/>
  <c r="I82" i="6"/>
  <c r="K82" i="6"/>
  <c r="M82" i="6" s="1"/>
  <c r="L82" i="6"/>
  <c r="I83" i="6"/>
  <c r="K83" i="6"/>
  <c r="H83" i="6" s="1"/>
  <c r="J83" i="6" s="1"/>
  <c r="L83" i="6"/>
  <c r="I84" i="6"/>
  <c r="K84" i="6"/>
  <c r="H84" i="6" s="1"/>
  <c r="J84" i="6" s="1"/>
  <c r="L84" i="6"/>
  <c r="M84" i="6"/>
  <c r="I85" i="6"/>
  <c r="K85" i="6"/>
  <c r="M85" i="6" s="1"/>
  <c r="L85" i="6"/>
  <c r="I86" i="6"/>
  <c r="K86" i="6"/>
  <c r="M86" i="6" s="1"/>
  <c r="L86" i="6"/>
  <c r="I87" i="6"/>
  <c r="H87" i="6"/>
  <c r="J87" i="6" s="1"/>
  <c r="L87" i="6"/>
  <c r="I88" i="6"/>
  <c r="H88" i="6"/>
  <c r="J88" i="6" s="1"/>
  <c r="L88" i="6"/>
  <c r="M88" i="6"/>
  <c r="H89" i="6"/>
  <c r="J89" i="6" s="1"/>
  <c r="I89" i="6"/>
  <c r="M89" i="6"/>
  <c r="L89" i="6"/>
  <c r="I90" i="6"/>
  <c r="M90" i="6"/>
  <c r="L90" i="6"/>
  <c r="I91" i="6"/>
  <c r="H91" i="6"/>
  <c r="J91" i="6" s="1"/>
  <c r="L91" i="6"/>
  <c r="I92" i="6"/>
  <c r="H92" i="6"/>
  <c r="J92" i="6" s="1"/>
  <c r="L92" i="6"/>
  <c r="M92" i="6"/>
  <c r="H93" i="6"/>
  <c r="J93" i="6" s="1"/>
  <c r="I93" i="6"/>
  <c r="M93" i="6"/>
  <c r="L93" i="6"/>
  <c r="I94" i="6"/>
  <c r="M94" i="6"/>
  <c r="L94" i="6"/>
  <c r="I95" i="6"/>
  <c r="H95" i="6"/>
  <c r="J95" i="6" s="1"/>
  <c r="L95" i="6"/>
  <c r="I96" i="6"/>
  <c r="H96" i="6"/>
  <c r="J96" i="6" s="1"/>
  <c r="L96" i="6"/>
  <c r="M96" i="6"/>
  <c r="H97" i="6"/>
  <c r="J97" i="6" s="1"/>
  <c r="I97" i="6"/>
  <c r="M97" i="6"/>
  <c r="L97" i="6"/>
  <c r="I98" i="6"/>
  <c r="M98" i="6"/>
  <c r="L98" i="6"/>
  <c r="I99" i="6"/>
  <c r="H99" i="6"/>
  <c r="J99" i="6" s="1"/>
  <c r="L99" i="6"/>
  <c r="I100" i="6"/>
  <c r="H100" i="6"/>
  <c r="J100" i="6" s="1"/>
  <c r="L100" i="6"/>
  <c r="M100" i="6"/>
  <c r="H101" i="6"/>
  <c r="J101" i="6" s="1"/>
  <c r="I101" i="6"/>
  <c r="M101" i="6"/>
  <c r="L101" i="6"/>
  <c r="I102" i="6"/>
  <c r="M102" i="6"/>
  <c r="L102" i="6"/>
  <c r="I103" i="6"/>
  <c r="H103" i="6"/>
  <c r="J103" i="6" s="1"/>
  <c r="L103" i="6"/>
  <c r="I104" i="6"/>
  <c r="H104" i="6"/>
  <c r="J104" i="6" s="1"/>
  <c r="L104" i="6"/>
  <c r="M104" i="6"/>
  <c r="H105" i="6"/>
  <c r="J105" i="6" s="1"/>
  <c r="I105" i="6"/>
  <c r="M105" i="6"/>
  <c r="L105" i="6"/>
  <c r="I106" i="6"/>
  <c r="M106" i="6"/>
  <c r="L106" i="6"/>
  <c r="I107" i="6"/>
  <c r="H107" i="6"/>
  <c r="J107" i="6" s="1"/>
  <c r="L107" i="6"/>
  <c r="I108" i="6"/>
  <c r="H108" i="6"/>
  <c r="J108" i="6" s="1"/>
  <c r="L108" i="6"/>
  <c r="M108" i="6"/>
  <c r="H109" i="6"/>
  <c r="J109" i="6" s="1"/>
  <c r="I109" i="6"/>
  <c r="L109" i="6"/>
  <c r="M109" i="6" s="1"/>
  <c r="I110" i="6"/>
  <c r="M110" i="6"/>
  <c r="L110" i="6"/>
  <c r="I111" i="6"/>
  <c r="H111" i="6"/>
  <c r="J111" i="6" s="1"/>
  <c r="L111" i="6"/>
  <c r="I112" i="6"/>
  <c r="K112" i="6"/>
  <c r="H112" i="6" s="1"/>
  <c r="J112" i="6" s="1"/>
  <c r="L112" i="6"/>
  <c r="I113" i="6"/>
  <c r="K113" i="6"/>
  <c r="H113" i="6" s="1"/>
  <c r="J113" i="6" s="1"/>
  <c r="L113" i="6"/>
  <c r="I114" i="6"/>
  <c r="K114" i="6"/>
  <c r="M114" i="6" s="1"/>
  <c r="L114" i="6"/>
  <c r="I115" i="6"/>
  <c r="K115" i="6"/>
  <c r="H115" i="6" s="1"/>
  <c r="J115" i="6" s="1"/>
  <c r="L115" i="6"/>
  <c r="I116" i="6"/>
  <c r="K116" i="6"/>
  <c r="H116" i="6" s="1"/>
  <c r="J116" i="6" s="1"/>
  <c r="L116" i="6"/>
  <c r="I117" i="6"/>
  <c r="K117" i="6"/>
  <c r="M117" i="6" s="1"/>
  <c r="L117" i="6"/>
  <c r="I118" i="6"/>
  <c r="K118" i="6"/>
  <c r="M118" i="6" s="1"/>
  <c r="L118" i="6"/>
  <c r="I119" i="6"/>
  <c r="K119" i="6"/>
  <c r="H119" i="6" s="1"/>
  <c r="J119" i="6" s="1"/>
  <c r="L119" i="6"/>
  <c r="I120" i="6"/>
  <c r="K120" i="6"/>
  <c r="H120" i="6" s="1"/>
  <c r="J120" i="6" s="1"/>
  <c r="L120" i="6"/>
  <c r="I121" i="6"/>
  <c r="K121" i="6"/>
  <c r="H121" i="6" s="1"/>
  <c r="J121" i="6" s="1"/>
  <c r="L121" i="6"/>
  <c r="I122" i="6"/>
  <c r="K122" i="6"/>
  <c r="M122" i="6" s="1"/>
  <c r="L122" i="6"/>
  <c r="I123" i="6"/>
  <c r="K123" i="6"/>
  <c r="H123" i="6" s="1"/>
  <c r="J123" i="6" s="1"/>
  <c r="L123" i="6"/>
  <c r="I124" i="6"/>
  <c r="K124" i="6"/>
  <c r="H124" i="6" s="1"/>
  <c r="J124" i="6" s="1"/>
  <c r="L124" i="6"/>
  <c r="J79" i="6"/>
  <c r="I79" i="6"/>
  <c r="H79" i="6"/>
  <c r="L79" i="6"/>
  <c r="M79" i="6" s="1"/>
  <c r="K79" i="6"/>
  <c r="K48" i="6"/>
  <c r="H48" i="6" s="1"/>
  <c r="K49" i="6"/>
  <c r="H49" i="6" s="1"/>
  <c r="J49" i="6" s="1"/>
  <c r="K50" i="6"/>
  <c r="H50" i="6" s="1"/>
  <c r="J50" i="6" s="1"/>
  <c r="K51" i="6"/>
  <c r="M51" i="6" s="1"/>
  <c r="K52" i="6"/>
  <c r="H52" i="6" s="1"/>
  <c r="J52" i="6" s="1"/>
  <c r="I49" i="6"/>
  <c r="L49" i="6"/>
  <c r="I50" i="6"/>
  <c r="L50" i="6"/>
  <c r="M50" i="6"/>
  <c r="I51" i="6"/>
  <c r="L51" i="6"/>
  <c r="I52" i="6"/>
  <c r="L52" i="6"/>
  <c r="H53" i="6"/>
  <c r="J53" i="6" s="1"/>
  <c r="I53" i="6"/>
  <c r="M53" i="6"/>
  <c r="L53" i="6"/>
  <c r="H54" i="6"/>
  <c r="J54" i="6" s="1"/>
  <c r="I54" i="6"/>
  <c r="L54" i="6"/>
  <c r="M54" i="6"/>
  <c r="I55" i="6"/>
  <c r="M55" i="6"/>
  <c r="L55" i="6"/>
  <c r="I56" i="6"/>
  <c r="H56" i="6"/>
  <c r="J56" i="6" s="1"/>
  <c r="L56" i="6"/>
  <c r="M56" i="6" s="1"/>
  <c r="H57" i="6"/>
  <c r="J57" i="6" s="1"/>
  <c r="I57" i="6"/>
  <c r="M57" i="6"/>
  <c r="L57" i="6"/>
  <c r="H58" i="6"/>
  <c r="J58" i="6" s="1"/>
  <c r="I58" i="6"/>
  <c r="L58" i="6"/>
  <c r="M58" i="6"/>
  <c r="I59" i="6"/>
  <c r="M59" i="6"/>
  <c r="L59" i="6"/>
  <c r="I60" i="6"/>
  <c r="H60" i="6"/>
  <c r="J60" i="6" s="1"/>
  <c r="L60" i="6"/>
  <c r="M60" i="6" s="1"/>
  <c r="H61" i="6"/>
  <c r="J61" i="6" s="1"/>
  <c r="I61" i="6"/>
  <c r="M61" i="6"/>
  <c r="L61" i="6"/>
  <c r="H62" i="6"/>
  <c r="J62" i="6" s="1"/>
  <c r="I62" i="6"/>
  <c r="L62" i="6"/>
  <c r="M62" i="6"/>
  <c r="I63" i="6"/>
  <c r="M63" i="6"/>
  <c r="L63" i="6"/>
  <c r="I64" i="6"/>
  <c r="H64" i="6"/>
  <c r="J64" i="6" s="1"/>
  <c r="L64" i="6"/>
  <c r="M64" i="6" s="1"/>
  <c r="H65" i="6"/>
  <c r="J65" i="6" s="1"/>
  <c r="I65" i="6"/>
  <c r="M65" i="6"/>
  <c r="L65" i="6"/>
  <c r="H66" i="6"/>
  <c r="J66" i="6" s="1"/>
  <c r="I66" i="6"/>
  <c r="L66" i="6"/>
  <c r="M66" i="6"/>
  <c r="I67" i="6"/>
  <c r="M67" i="6"/>
  <c r="L67" i="6"/>
  <c r="I68" i="6"/>
  <c r="H68" i="6"/>
  <c r="J68" i="6" s="1"/>
  <c r="L68" i="6"/>
  <c r="M68" i="6" s="1"/>
  <c r="H69" i="6"/>
  <c r="J69" i="6" s="1"/>
  <c r="I69" i="6"/>
  <c r="M69" i="6"/>
  <c r="L69" i="6"/>
  <c r="I70" i="6"/>
  <c r="K70" i="6"/>
  <c r="H70" i="6" s="1"/>
  <c r="J70" i="6" s="1"/>
  <c r="L70" i="6"/>
  <c r="I71" i="6"/>
  <c r="K71" i="6"/>
  <c r="M71" i="6" s="1"/>
  <c r="L71" i="6"/>
  <c r="I72" i="6"/>
  <c r="K72" i="6"/>
  <c r="H72" i="6" s="1"/>
  <c r="J72" i="6" s="1"/>
  <c r="L72" i="6"/>
  <c r="I73" i="6"/>
  <c r="K73" i="6"/>
  <c r="M73" i="6" s="1"/>
  <c r="L73" i="6"/>
  <c r="I74" i="6"/>
  <c r="K74" i="6"/>
  <c r="M74" i="6" s="1"/>
  <c r="L74" i="6"/>
  <c r="I75" i="6"/>
  <c r="K75" i="6"/>
  <c r="M75" i="6" s="1"/>
  <c r="L75" i="6"/>
  <c r="I76" i="6"/>
  <c r="K76" i="6"/>
  <c r="H76" i="6" s="1"/>
  <c r="J76" i="6" s="1"/>
  <c r="L76" i="6"/>
  <c r="I48" i="6"/>
  <c r="M48" i="6"/>
  <c r="L48" i="6"/>
  <c r="K36" i="6"/>
  <c r="M36" i="6" s="1"/>
  <c r="K37" i="6"/>
  <c r="K38" i="6"/>
  <c r="M38" i="6" s="1"/>
  <c r="K39" i="6"/>
  <c r="H39" i="6" s="1"/>
  <c r="J39" i="6" s="1"/>
  <c r="K40" i="6"/>
  <c r="M40" i="6" s="1"/>
  <c r="I10" i="6"/>
  <c r="K10" i="6"/>
  <c r="M10" i="6" s="1"/>
  <c r="L10" i="6"/>
  <c r="I11" i="6"/>
  <c r="K11" i="6"/>
  <c r="M11" i="6" s="1"/>
  <c r="L11" i="6"/>
  <c r="I12" i="6"/>
  <c r="K12" i="6"/>
  <c r="M12" i="6" s="1"/>
  <c r="L12" i="6"/>
  <c r="I13" i="6"/>
  <c r="K13" i="6"/>
  <c r="H13" i="6" s="1"/>
  <c r="J13" i="6" s="1"/>
  <c r="L13" i="6"/>
  <c r="M13" i="6" s="1"/>
  <c r="I14" i="6"/>
  <c r="K14" i="6"/>
  <c r="M14" i="6" s="1"/>
  <c r="L14" i="6"/>
  <c r="I15" i="6"/>
  <c r="K15" i="6"/>
  <c r="M15" i="6" s="1"/>
  <c r="L15" i="6"/>
  <c r="I16" i="6"/>
  <c r="K16" i="6"/>
  <c r="M16" i="6" s="1"/>
  <c r="L16" i="6"/>
  <c r="I17" i="6"/>
  <c r="K17" i="6"/>
  <c r="H17" i="6" s="1"/>
  <c r="J17" i="6" s="1"/>
  <c r="L17" i="6"/>
  <c r="I18" i="6"/>
  <c r="K18" i="6"/>
  <c r="M18" i="6" s="1"/>
  <c r="L18" i="6"/>
  <c r="I19" i="6"/>
  <c r="K19" i="6"/>
  <c r="H19" i="6" s="1"/>
  <c r="J19" i="6" s="1"/>
  <c r="L19" i="6"/>
  <c r="M19" i="6"/>
  <c r="I20" i="6"/>
  <c r="K20" i="6"/>
  <c r="M20" i="6" s="1"/>
  <c r="L20" i="6"/>
  <c r="I21" i="6"/>
  <c r="K21" i="6"/>
  <c r="H21" i="6" s="1"/>
  <c r="J21" i="6" s="1"/>
  <c r="L21" i="6"/>
  <c r="I22" i="6"/>
  <c r="K22" i="6"/>
  <c r="M22" i="6" s="1"/>
  <c r="L22" i="6"/>
  <c r="I23" i="6"/>
  <c r="K23" i="6"/>
  <c r="H23" i="6" s="1"/>
  <c r="J23" i="6" s="1"/>
  <c r="L23" i="6"/>
  <c r="I24" i="6"/>
  <c r="K24" i="6"/>
  <c r="M24" i="6" s="1"/>
  <c r="L24" i="6"/>
  <c r="I25" i="6"/>
  <c r="K25" i="6"/>
  <c r="H25" i="6" s="1"/>
  <c r="J25" i="6" s="1"/>
  <c r="L25" i="6"/>
  <c r="M25" i="6" s="1"/>
  <c r="I26" i="6"/>
  <c r="K26" i="6"/>
  <c r="M26" i="6" s="1"/>
  <c r="L26" i="6"/>
  <c r="I27" i="6"/>
  <c r="K27" i="6"/>
  <c r="M27" i="6" s="1"/>
  <c r="L27" i="6"/>
  <c r="I28" i="6"/>
  <c r="M28" i="6"/>
  <c r="L28" i="6"/>
  <c r="I29" i="6"/>
  <c r="H29" i="6"/>
  <c r="J29" i="6" s="1"/>
  <c r="L29" i="6"/>
  <c r="M29" i="6" s="1"/>
  <c r="H30" i="6"/>
  <c r="J30" i="6" s="1"/>
  <c r="I30" i="6"/>
  <c r="M30" i="6"/>
  <c r="L30" i="6"/>
  <c r="H31" i="6"/>
  <c r="J31" i="6" s="1"/>
  <c r="I31" i="6"/>
  <c r="L31" i="6"/>
  <c r="M31" i="6"/>
  <c r="I32" i="6"/>
  <c r="M32" i="6"/>
  <c r="L32" i="6"/>
  <c r="I33" i="6"/>
  <c r="H33" i="6"/>
  <c r="J33" i="6" s="1"/>
  <c r="L33" i="6"/>
  <c r="M33" i="6" s="1"/>
  <c r="H34" i="6"/>
  <c r="J34" i="6" s="1"/>
  <c r="I34" i="6"/>
  <c r="M34" i="6"/>
  <c r="L34" i="6"/>
  <c r="H35" i="6"/>
  <c r="J35" i="6" s="1"/>
  <c r="I35" i="6"/>
  <c r="L35" i="6"/>
  <c r="M35" i="6"/>
  <c r="I36" i="6"/>
  <c r="L36" i="6"/>
  <c r="H37" i="6"/>
  <c r="J37" i="6" s="1"/>
  <c r="I37" i="6"/>
  <c r="L37" i="6"/>
  <c r="M37" i="6" s="1"/>
  <c r="H38" i="6"/>
  <c r="J38" i="6" s="1"/>
  <c r="I38" i="6"/>
  <c r="L38" i="6"/>
  <c r="I39" i="6"/>
  <c r="L39" i="6"/>
  <c r="I40" i="6"/>
  <c r="L40" i="6"/>
  <c r="H41" i="6"/>
  <c r="J41" i="6" s="1"/>
  <c r="I41" i="6"/>
  <c r="K41" i="6"/>
  <c r="L41" i="6"/>
  <c r="M41" i="6" s="1"/>
  <c r="I42" i="6"/>
  <c r="K42" i="6"/>
  <c r="M42" i="6" s="1"/>
  <c r="L42" i="6"/>
  <c r="I43" i="6"/>
  <c r="K43" i="6"/>
  <c r="M43" i="6" s="1"/>
  <c r="L43" i="6"/>
  <c r="I44" i="6"/>
  <c r="K44" i="6"/>
  <c r="M44" i="6" s="1"/>
  <c r="L44" i="6"/>
  <c r="I45" i="6"/>
  <c r="K45" i="6"/>
  <c r="H45" i="6" s="1"/>
  <c r="J45" i="6" s="1"/>
  <c r="L45" i="6"/>
  <c r="J9" i="6"/>
  <c r="I9" i="6"/>
  <c r="H9" i="6"/>
  <c r="M9" i="6"/>
  <c r="L9" i="6"/>
  <c r="K9" i="6"/>
  <c r="G169" i="6"/>
  <c r="G168" i="6"/>
  <c r="G156" i="6"/>
  <c r="G125" i="6"/>
  <c r="G77" i="6"/>
  <c r="G46" i="6"/>
  <c r="H133" i="5"/>
  <c r="N133" i="5" s="1"/>
  <c r="H134" i="5"/>
  <c r="N134" i="5" s="1"/>
  <c r="H135" i="5"/>
  <c r="N135" i="5" s="1"/>
  <c r="H136" i="5"/>
  <c r="N136" i="5" s="1"/>
  <c r="H137" i="5"/>
  <c r="N137" i="5" s="1"/>
  <c r="H138" i="5"/>
  <c r="N138" i="5" s="1"/>
  <c r="H139" i="5"/>
  <c r="N139" i="5" s="1"/>
  <c r="H140" i="5"/>
  <c r="N140" i="5" s="1"/>
  <c r="H132" i="5"/>
  <c r="N132" i="5" s="1"/>
  <c r="H131" i="5"/>
  <c r="N131" i="5" s="1"/>
  <c r="H130" i="5"/>
  <c r="N130" i="5" s="1"/>
  <c r="H129" i="5"/>
  <c r="N129" i="5" s="1"/>
  <c r="G141" i="5"/>
  <c r="G127" i="5"/>
  <c r="G113" i="5"/>
  <c r="H116" i="5"/>
  <c r="N116" i="5" s="1"/>
  <c r="H117" i="5"/>
  <c r="N117" i="5" s="1"/>
  <c r="H118" i="5"/>
  <c r="N118" i="5" s="1"/>
  <c r="H119" i="5"/>
  <c r="N119" i="5" s="1"/>
  <c r="H120" i="5"/>
  <c r="N120" i="5" s="1"/>
  <c r="H121" i="5"/>
  <c r="N121" i="5" s="1"/>
  <c r="H122" i="5"/>
  <c r="N122" i="5" s="1"/>
  <c r="H123" i="5"/>
  <c r="N123" i="5" s="1"/>
  <c r="H124" i="5"/>
  <c r="N124" i="5" s="1"/>
  <c r="H125" i="5"/>
  <c r="N125" i="5" s="1"/>
  <c r="H126" i="5"/>
  <c r="N126" i="5" s="1"/>
  <c r="H115" i="5"/>
  <c r="N115" i="5" s="1"/>
  <c r="H107" i="5"/>
  <c r="N107" i="5" s="1"/>
  <c r="H108" i="5"/>
  <c r="N108" i="5" s="1"/>
  <c r="H109" i="5"/>
  <c r="N109" i="5" s="1"/>
  <c r="H110" i="5"/>
  <c r="N110" i="5" s="1"/>
  <c r="H111" i="5"/>
  <c r="N111" i="5" s="1"/>
  <c r="H112" i="5"/>
  <c r="N112" i="5" s="1"/>
  <c r="H106" i="5"/>
  <c r="N106" i="5" s="1"/>
  <c r="K97" i="5"/>
  <c r="H97" i="5" s="1"/>
  <c r="N97" i="5" s="1"/>
  <c r="K98" i="5"/>
  <c r="H98" i="5" s="1"/>
  <c r="N98" i="5" s="1"/>
  <c r="K99" i="5"/>
  <c r="H99" i="5" s="1"/>
  <c r="N99" i="5" s="1"/>
  <c r="K100" i="5"/>
  <c r="H100" i="5" s="1"/>
  <c r="N100" i="5" s="1"/>
  <c r="K101" i="5"/>
  <c r="H101" i="5" s="1"/>
  <c r="N101" i="5" s="1"/>
  <c r="K102" i="5"/>
  <c r="H102" i="5" s="1"/>
  <c r="N102" i="5" s="1"/>
  <c r="K96" i="5"/>
  <c r="H96" i="5" s="1"/>
  <c r="N96" i="5" s="1"/>
  <c r="G103" i="5"/>
  <c r="K91" i="5"/>
  <c r="H91" i="5" s="1"/>
  <c r="N91" i="5" s="1"/>
  <c r="K93" i="5"/>
  <c r="H93" i="5" s="1"/>
  <c r="N93" i="5" s="1"/>
  <c r="K92" i="5"/>
  <c r="H92" i="5" s="1"/>
  <c r="N92" i="5" s="1"/>
  <c r="G94" i="5"/>
  <c r="K87" i="5"/>
  <c r="H87" i="5" s="1"/>
  <c r="N87" i="5" s="1"/>
  <c r="K88" i="5"/>
  <c r="H88" i="5" s="1"/>
  <c r="N88" i="5" s="1"/>
  <c r="H90" i="5"/>
  <c r="N90" i="5" s="1"/>
  <c r="H89" i="5"/>
  <c r="N89" i="5" s="1"/>
  <c r="K86" i="5"/>
  <c r="H86" i="5" s="1"/>
  <c r="N86" i="5" s="1"/>
  <c r="G84" i="5"/>
  <c r="H73" i="5"/>
  <c r="N73" i="5" s="1"/>
  <c r="H74" i="5"/>
  <c r="N74" i="5" s="1"/>
  <c r="H75" i="5"/>
  <c r="N75" i="5" s="1"/>
  <c r="H76" i="5"/>
  <c r="N76" i="5" s="1"/>
  <c r="H83" i="5"/>
  <c r="N83" i="5" s="1"/>
  <c r="K70" i="5"/>
  <c r="H70" i="5" s="1"/>
  <c r="N70" i="5" s="1"/>
  <c r="K71" i="5"/>
  <c r="H71" i="5" s="1"/>
  <c r="N71" i="5" s="1"/>
  <c r="K72" i="5"/>
  <c r="H72" i="5" s="1"/>
  <c r="N72" i="5" s="1"/>
  <c r="K77" i="5"/>
  <c r="H77" i="5" s="1"/>
  <c r="N77" i="5" s="1"/>
  <c r="K78" i="5"/>
  <c r="K79" i="5"/>
  <c r="H79" i="5" s="1"/>
  <c r="N79" i="5" s="1"/>
  <c r="K80" i="5"/>
  <c r="H80" i="5" s="1"/>
  <c r="N80" i="5" s="1"/>
  <c r="K81" i="5"/>
  <c r="H81" i="5" s="1"/>
  <c r="N81" i="5" s="1"/>
  <c r="K82" i="5"/>
  <c r="H82" i="5" s="1"/>
  <c r="N82" i="5" s="1"/>
  <c r="K69" i="5"/>
  <c r="H65" i="5"/>
  <c r="N65" i="5" s="1"/>
  <c r="H58" i="5"/>
  <c r="N58" i="5" s="1"/>
  <c r="H59" i="5"/>
  <c r="N59" i="5" s="1"/>
  <c r="H62" i="5"/>
  <c r="N62" i="5" s="1"/>
  <c r="H63" i="5"/>
  <c r="N63" i="5" s="1"/>
  <c r="H64" i="5"/>
  <c r="N64" i="5" s="1"/>
  <c r="G67" i="5"/>
  <c r="K43" i="5"/>
  <c r="H43" i="5" s="1"/>
  <c r="N43" i="5" s="1"/>
  <c r="K44" i="5"/>
  <c r="H44" i="5" s="1"/>
  <c r="N44" i="5" s="1"/>
  <c r="K45" i="5"/>
  <c r="H45" i="5" s="1"/>
  <c r="N45" i="5" s="1"/>
  <c r="K46" i="5"/>
  <c r="H46" i="5" s="1"/>
  <c r="N46" i="5" s="1"/>
  <c r="K47" i="5"/>
  <c r="H47" i="5" s="1"/>
  <c r="N47" i="5" s="1"/>
  <c r="K48" i="5"/>
  <c r="H48" i="5" s="1"/>
  <c r="N48" i="5" s="1"/>
  <c r="K49" i="5"/>
  <c r="H49" i="5" s="1"/>
  <c r="N49" i="5" s="1"/>
  <c r="K50" i="5"/>
  <c r="H50" i="5" s="1"/>
  <c r="N50" i="5" s="1"/>
  <c r="K52" i="5"/>
  <c r="H52" i="5" s="1"/>
  <c r="N52" i="5" s="1"/>
  <c r="K53" i="5"/>
  <c r="H53" i="5" s="1"/>
  <c r="N53" i="5" s="1"/>
  <c r="K54" i="5"/>
  <c r="H54" i="5" s="1"/>
  <c r="N54" i="5" s="1"/>
  <c r="K55" i="5"/>
  <c r="H55" i="5" s="1"/>
  <c r="N55" i="5" s="1"/>
  <c r="K56" i="5"/>
  <c r="H56" i="5" s="1"/>
  <c r="N56" i="5" s="1"/>
  <c r="K57" i="5"/>
  <c r="H57" i="5" s="1"/>
  <c r="N57" i="5" s="1"/>
  <c r="K60" i="5"/>
  <c r="H60" i="5" s="1"/>
  <c r="N60" i="5" s="1"/>
  <c r="K61" i="5"/>
  <c r="H61" i="5" s="1"/>
  <c r="N61" i="5" s="1"/>
  <c r="K42" i="5"/>
  <c r="H42" i="5" s="1"/>
  <c r="N42" i="5" s="1"/>
  <c r="K41" i="5"/>
  <c r="H41" i="5" s="1"/>
  <c r="N41" i="5" s="1"/>
  <c r="G39" i="5"/>
  <c r="H38" i="5"/>
  <c r="N38" i="5" s="1"/>
  <c r="H37" i="5"/>
  <c r="K38" i="5"/>
  <c r="K37" i="5"/>
  <c r="L37" i="5"/>
  <c r="L38" i="5" s="1"/>
  <c r="I38" i="5" s="1"/>
  <c r="G35" i="5"/>
  <c r="K20" i="5"/>
  <c r="H20" i="5" s="1"/>
  <c r="K21" i="5"/>
  <c r="H21" i="5" s="1"/>
  <c r="K22" i="5"/>
  <c r="H22" i="5" s="1"/>
  <c r="K23" i="5"/>
  <c r="H23" i="5" s="1"/>
  <c r="K24" i="5"/>
  <c r="H24" i="5" s="1"/>
  <c r="K25" i="5"/>
  <c r="H25" i="5" s="1"/>
  <c r="K26" i="5"/>
  <c r="H26" i="5" s="1"/>
  <c r="K27" i="5"/>
  <c r="H27" i="5" s="1"/>
  <c r="K28" i="5"/>
  <c r="H28" i="5" s="1"/>
  <c r="K29" i="5"/>
  <c r="H29" i="5" s="1"/>
  <c r="K30" i="5"/>
  <c r="H30" i="5" s="1"/>
  <c r="K31" i="5"/>
  <c r="H31" i="5" s="1"/>
  <c r="K32" i="5"/>
  <c r="H32" i="5" s="1"/>
  <c r="K33" i="5"/>
  <c r="H33" i="5" s="1"/>
  <c r="K34" i="5"/>
  <c r="H34" i="5" s="1"/>
  <c r="G18" i="5"/>
  <c r="K9" i="5"/>
  <c r="K10" i="5"/>
  <c r="K11" i="5"/>
  <c r="K12" i="5"/>
  <c r="K13" i="5"/>
  <c r="H13" i="5" s="1"/>
  <c r="K14" i="5"/>
  <c r="K15" i="5"/>
  <c r="K16" i="5"/>
  <c r="K17" i="5"/>
  <c r="K8" i="5"/>
  <c r="I18" i="5"/>
  <c r="I20" i="5"/>
  <c r="L20" i="5" s="1"/>
  <c r="I21" i="5"/>
  <c r="L21" i="5" s="1"/>
  <c r="I22" i="5"/>
  <c r="L22" i="5" s="1"/>
  <c r="M22" i="5" s="1"/>
  <c r="I23" i="5"/>
  <c r="I24" i="5"/>
  <c r="L24" i="5" s="1"/>
  <c r="I25" i="5"/>
  <c r="L25" i="5" s="1"/>
  <c r="I26" i="5"/>
  <c r="I27" i="5"/>
  <c r="L27" i="5" s="1"/>
  <c r="M27" i="5" s="1"/>
  <c r="I28" i="5"/>
  <c r="L28" i="5" s="1"/>
  <c r="I29" i="5"/>
  <c r="L29" i="5" s="1"/>
  <c r="I30" i="5"/>
  <c r="L30" i="5" s="1"/>
  <c r="M30" i="5" s="1"/>
  <c r="I31" i="5"/>
  <c r="L31" i="5" s="1"/>
  <c r="I32" i="5"/>
  <c r="L32" i="5" s="1"/>
  <c r="I33" i="5"/>
  <c r="I34" i="5"/>
  <c r="L34" i="5" s="1"/>
  <c r="I35" i="5"/>
  <c r="I41" i="5"/>
  <c r="I42" i="5"/>
  <c r="I43" i="5"/>
  <c r="L43" i="5" s="1"/>
  <c r="I44" i="5"/>
  <c r="L44" i="5" s="1"/>
  <c r="I45" i="5"/>
  <c r="L45" i="5" s="1"/>
  <c r="I46" i="5"/>
  <c r="L46" i="5" s="1"/>
  <c r="I47" i="5"/>
  <c r="L47" i="5" s="1"/>
  <c r="M47" i="5" s="1"/>
  <c r="I48" i="5"/>
  <c r="L48" i="5" s="1"/>
  <c r="I49" i="5"/>
  <c r="L49" i="5" s="1"/>
  <c r="I50" i="5"/>
  <c r="I52" i="5"/>
  <c r="L52" i="5" s="1"/>
  <c r="I53" i="5"/>
  <c r="L53" i="5" s="1"/>
  <c r="I54" i="5"/>
  <c r="L54" i="5" s="1"/>
  <c r="I55" i="5"/>
  <c r="L55" i="5" s="1"/>
  <c r="I56" i="5"/>
  <c r="L56" i="5" s="1"/>
  <c r="I57" i="5"/>
  <c r="L57" i="5" s="1"/>
  <c r="I58" i="5"/>
  <c r="L58" i="5" s="1"/>
  <c r="M58" i="5" s="1"/>
  <c r="I59" i="5"/>
  <c r="I60" i="5"/>
  <c r="L60" i="5" s="1"/>
  <c r="M60" i="5" s="1"/>
  <c r="I61" i="5"/>
  <c r="L61" i="5" s="1"/>
  <c r="I62" i="5"/>
  <c r="L62" i="5" s="1"/>
  <c r="M62" i="5" s="1"/>
  <c r="I63" i="5"/>
  <c r="L63" i="5" s="1"/>
  <c r="M63" i="5" s="1"/>
  <c r="I64" i="5"/>
  <c r="L64" i="5" s="1"/>
  <c r="M64" i="5" s="1"/>
  <c r="I65" i="5"/>
  <c r="L65" i="5" s="1"/>
  <c r="M65" i="5" s="1"/>
  <c r="I66" i="5"/>
  <c r="I67" i="5"/>
  <c r="I68" i="5"/>
  <c r="J68" i="5" s="1"/>
  <c r="I69" i="5"/>
  <c r="L69" i="5" s="1"/>
  <c r="I70" i="5"/>
  <c r="I71" i="5"/>
  <c r="L71" i="5" s="1"/>
  <c r="I72" i="5"/>
  <c r="L72" i="5" s="1"/>
  <c r="I73" i="5"/>
  <c r="L73" i="5" s="1"/>
  <c r="M73" i="5" s="1"/>
  <c r="I74" i="5"/>
  <c r="I75" i="5"/>
  <c r="L75" i="5" s="1"/>
  <c r="M75" i="5" s="1"/>
  <c r="I76" i="5"/>
  <c r="L76" i="5" s="1"/>
  <c r="I77" i="5"/>
  <c r="I78" i="5"/>
  <c r="I79" i="5"/>
  <c r="L79" i="5" s="1"/>
  <c r="I80" i="5"/>
  <c r="L80" i="5" s="1"/>
  <c r="I81" i="5"/>
  <c r="L81" i="5" s="1"/>
  <c r="I82" i="5"/>
  <c r="I83" i="5"/>
  <c r="L83" i="5" s="1"/>
  <c r="M83" i="5" s="1"/>
  <c r="I84" i="5"/>
  <c r="L84" i="5" s="1"/>
  <c r="I86" i="5"/>
  <c r="I87" i="5"/>
  <c r="I88" i="5"/>
  <c r="L88" i="5" s="1"/>
  <c r="I89" i="5"/>
  <c r="L89" i="5" s="1"/>
  <c r="M89" i="5" s="1"/>
  <c r="I90" i="5"/>
  <c r="I91" i="5"/>
  <c r="L91" i="5" s="1"/>
  <c r="I92" i="5"/>
  <c r="L92" i="5" s="1"/>
  <c r="I93" i="5"/>
  <c r="L93" i="5" s="1"/>
  <c r="I94" i="5"/>
  <c r="L94" i="5" s="1"/>
  <c r="I96" i="5"/>
  <c r="L96" i="5" s="1"/>
  <c r="M96" i="5" s="1"/>
  <c r="I97" i="5"/>
  <c r="L97" i="5" s="1"/>
  <c r="M97" i="5" s="1"/>
  <c r="I98" i="5"/>
  <c r="I99" i="5"/>
  <c r="L99" i="5" s="1"/>
  <c r="I100" i="5"/>
  <c r="L100" i="5" s="1"/>
  <c r="I101" i="5"/>
  <c r="I102" i="5"/>
  <c r="L102" i="5" s="1"/>
  <c r="I103" i="5"/>
  <c r="L103" i="5" s="1"/>
  <c r="I106" i="5"/>
  <c r="I107" i="5"/>
  <c r="J107" i="5" s="1"/>
  <c r="I108" i="5"/>
  <c r="J108" i="5" s="1"/>
  <c r="I109" i="5"/>
  <c r="J109" i="5" s="1"/>
  <c r="I110" i="5"/>
  <c r="I111" i="5"/>
  <c r="I112" i="5"/>
  <c r="J112" i="5" s="1"/>
  <c r="I113" i="5"/>
  <c r="L113" i="5" s="1"/>
  <c r="I115" i="5"/>
  <c r="J115" i="5" s="1"/>
  <c r="I116" i="5"/>
  <c r="J116" i="5" s="1"/>
  <c r="I117" i="5"/>
  <c r="J117" i="5" s="1"/>
  <c r="I118" i="5"/>
  <c r="I119" i="5"/>
  <c r="L119" i="5" s="1"/>
  <c r="M119" i="5" s="1"/>
  <c r="I120" i="5"/>
  <c r="J120" i="5" s="1"/>
  <c r="I121" i="5"/>
  <c r="L121" i="5" s="1"/>
  <c r="M121" i="5" s="1"/>
  <c r="I122" i="5"/>
  <c r="I123" i="5"/>
  <c r="I124" i="5"/>
  <c r="J124" i="5" s="1"/>
  <c r="I125" i="5"/>
  <c r="J125" i="5" s="1"/>
  <c r="I126" i="5"/>
  <c r="I127" i="5"/>
  <c r="L127" i="5" s="1"/>
  <c r="I129" i="5"/>
  <c r="L129" i="5" s="1"/>
  <c r="M129" i="5" s="1"/>
  <c r="I130" i="5"/>
  <c r="I131" i="5"/>
  <c r="L131" i="5" s="1"/>
  <c r="M131" i="5" s="1"/>
  <c r="I132" i="5"/>
  <c r="J132" i="5" s="1"/>
  <c r="I133" i="5"/>
  <c r="J133" i="5" s="1"/>
  <c r="I134" i="5"/>
  <c r="I135" i="5"/>
  <c r="I136" i="5"/>
  <c r="L136" i="5" s="1"/>
  <c r="M136" i="5" s="1"/>
  <c r="I137" i="5"/>
  <c r="L137" i="5" s="1"/>
  <c r="M137" i="5" s="1"/>
  <c r="I138" i="5"/>
  <c r="I139" i="5"/>
  <c r="L139" i="5" s="1"/>
  <c r="M139" i="5" s="1"/>
  <c r="I140" i="5"/>
  <c r="I141" i="5"/>
  <c r="L141" i="5" s="1"/>
  <c r="I142" i="5"/>
  <c r="L142" i="5" s="1"/>
  <c r="L23" i="5"/>
  <c r="M23" i="5" s="1"/>
  <c r="L35" i="5"/>
  <c r="L42" i="5"/>
  <c r="L50" i="5"/>
  <c r="L59" i="5"/>
  <c r="M59" i="5" s="1"/>
  <c r="L67" i="5"/>
  <c r="L70" i="5"/>
  <c r="L78" i="5"/>
  <c r="L87" i="5"/>
  <c r="L101" i="5"/>
  <c r="L109" i="5"/>
  <c r="M109" i="5" s="1"/>
  <c r="L111" i="5"/>
  <c r="M111" i="5" s="1"/>
  <c r="L115" i="5"/>
  <c r="M115" i="5" s="1"/>
  <c r="L118" i="5"/>
  <c r="M118" i="5" s="1"/>
  <c r="L120" i="5"/>
  <c r="M120" i="5" s="1"/>
  <c r="L123" i="5"/>
  <c r="M123" i="5" s="1"/>
  <c r="L126" i="5"/>
  <c r="M126" i="5" s="1"/>
  <c r="L132" i="5"/>
  <c r="M132" i="5" s="1"/>
  <c r="L134" i="5"/>
  <c r="M134" i="5" s="1"/>
  <c r="L135" i="5"/>
  <c r="L140" i="5"/>
  <c r="M140" i="5" s="1"/>
  <c r="M135" i="5"/>
  <c r="I9" i="5"/>
  <c r="L9" i="5" s="1"/>
  <c r="I10" i="5"/>
  <c r="L10" i="5" s="1"/>
  <c r="I11" i="5"/>
  <c r="L11" i="5" s="1"/>
  <c r="I12" i="5"/>
  <c r="L12" i="5" s="1"/>
  <c r="I13" i="5"/>
  <c r="L13" i="5" s="1"/>
  <c r="I14" i="5"/>
  <c r="L14" i="5" s="1"/>
  <c r="I15" i="5"/>
  <c r="L15" i="5" s="1"/>
  <c r="I16" i="5"/>
  <c r="L16" i="5" s="1"/>
  <c r="I17" i="5"/>
  <c r="L17" i="5" s="1"/>
  <c r="I8" i="5"/>
  <c r="M51" i="7" l="1"/>
  <c r="H8" i="7"/>
  <c r="J8" i="7" s="1"/>
  <c r="J12" i="7" s="1"/>
  <c r="J39" i="7"/>
  <c r="H37" i="7"/>
  <c r="J37" i="7" s="1"/>
  <c r="J48" i="7"/>
  <c r="M11" i="7"/>
  <c r="M12" i="7" s="1"/>
  <c r="M39" i="7"/>
  <c r="J16" i="7"/>
  <c r="G55" i="7"/>
  <c r="G56" i="7" s="1"/>
  <c r="C11" i="4" s="1"/>
  <c r="J11" i="7"/>
  <c r="J36" i="7"/>
  <c r="J50" i="7"/>
  <c r="J35" i="7"/>
  <c r="J40" i="7" s="1"/>
  <c r="J38" i="7"/>
  <c r="J42" i="7"/>
  <c r="J44" i="7" s="1"/>
  <c r="M19" i="7"/>
  <c r="M32" i="7" s="1"/>
  <c r="M27" i="7"/>
  <c r="M20" i="7"/>
  <c r="J15" i="7"/>
  <c r="M34" i="7"/>
  <c r="M40" i="7" s="1"/>
  <c r="O133" i="5"/>
  <c r="O132" i="5"/>
  <c r="O125" i="5"/>
  <c r="O116" i="5"/>
  <c r="O115" i="5"/>
  <c r="O117" i="5"/>
  <c r="O120" i="5"/>
  <c r="O109" i="5"/>
  <c r="O112" i="5"/>
  <c r="M80" i="5"/>
  <c r="J74" i="5"/>
  <c r="M93" i="5"/>
  <c r="M88" i="5"/>
  <c r="M87" i="5"/>
  <c r="M91" i="5"/>
  <c r="M55" i="5"/>
  <c r="M46" i="5"/>
  <c r="M29" i="5"/>
  <c r="M21" i="5"/>
  <c r="J110" i="5"/>
  <c r="O110" i="5" s="1"/>
  <c r="M92" i="5"/>
  <c r="L112" i="5"/>
  <c r="M112" i="5" s="1"/>
  <c r="J64" i="5"/>
  <c r="O64" i="5" s="1"/>
  <c r="J86" i="5"/>
  <c r="L68" i="5"/>
  <c r="M68" i="5" s="1"/>
  <c r="J70" i="5"/>
  <c r="G142" i="5"/>
  <c r="M99" i="5"/>
  <c r="L117" i="5"/>
  <c r="M117" i="5" s="1"/>
  <c r="M101" i="5"/>
  <c r="M50" i="5"/>
  <c r="M81" i="5"/>
  <c r="M20" i="5"/>
  <c r="J119" i="5"/>
  <c r="O119" i="5" s="1"/>
  <c r="L125" i="5"/>
  <c r="M125" i="5" s="1"/>
  <c r="J62" i="5"/>
  <c r="O62" i="5" s="1"/>
  <c r="J55" i="5"/>
  <c r="J46" i="5"/>
  <c r="O46" i="5" s="1"/>
  <c r="L110" i="5"/>
  <c r="M110" i="5" s="1"/>
  <c r="J77" i="5"/>
  <c r="M61" i="5"/>
  <c r="M53" i="5"/>
  <c r="M44" i="5"/>
  <c r="M78" i="5"/>
  <c r="L108" i="5"/>
  <c r="M108" i="5" s="1"/>
  <c r="O108" i="5" s="1"/>
  <c r="M70" i="5"/>
  <c r="J101" i="5"/>
  <c r="M28" i="5"/>
  <c r="M31" i="5"/>
  <c r="M24" i="5"/>
  <c r="J24" i="5"/>
  <c r="H10" i="5"/>
  <c r="J10" i="5" s="1"/>
  <c r="M10" i="5"/>
  <c r="H17" i="5"/>
  <c r="M17" i="5"/>
  <c r="H9" i="5"/>
  <c r="J9" i="5" s="1"/>
  <c r="M9" i="5"/>
  <c r="H16" i="5"/>
  <c r="M16" i="5"/>
  <c r="H11" i="5"/>
  <c r="J11" i="5" s="1"/>
  <c r="M11" i="5"/>
  <c r="H15" i="5"/>
  <c r="M15" i="5"/>
  <c r="H14" i="5"/>
  <c r="J14" i="5" s="1"/>
  <c r="M14" i="5"/>
  <c r="M13" i="5"/>
  <c r="H12" i="5"/>
  <c r="M12" i="5"/>
  <c r="H8" i="5"/>
  <c r="J8" i="5" s="1"/>
  <c r="M8" i="5"/>
  <c r="M54" i="5"/>
  <c r="J106" i="5"/>
  <c r="O106" i="5" s="1"/>
  <c r="I37" i="5"/>
  <c r="M45" i="5"/>
  <c r="L116" i="5"/>
  <c r="M116" i="5" s="1"/>
  <c r="L77" i="5"/>
  <c r="M77" i="5" s="1"/>
  <c r="J93" i="5"/>
  <c r="O93" i="5" s="1"/>
  <c r="J52" i="5"/>
  <c r="O52" i="5" s="1"/>
  <c r="J43" i="5"/>
  <c r="O43" i="5" s="1"/>
  <c r="M69" i="5"/>
  <c r="H78" i="5"/>
  <c r="L107" i="5"/>
  <c r="M107" i="5" s="1"/>
  <c r="O107" i="5" s="1"/>
  <c r="M102" i="5"/>
  <c r="M43" i="5"/>
  <c r="J59" i="5"/>
  <c r="O59" i="5" s="1"/>
  <c r="J29" i="5"/>
  <c r="L124" i="5"/>
  <c r="M124" i="5" s="1"/>
  <c r="O124" i="5" s="1"/>
  <c r="M42" i="5"/>
  <c r="J82" i="5"/>
  <c r="J63" i="5"/>
  <c r="O63" i="5" s="1"/>
  <c r="H69" i="5"/>
  <c r="L86" i="5"/>
  <c r="M86" i="5" s="1"/>
  <c r="M72" i="5"/>
  <c r="J126" i="5"/>
  <c r="O126" i="5" s="1"/>
  <c r="J118" i="5"/>
  <c r="O118" i="5" s="1"/>
  <c r="J16" i="5"/>
  <c r="J22" i="5"/>
  <c r="J88" i="5"/>
  <c r="L133" i="5"/>
  <c r="M133" i="5" s="1"/>
  <c r="J72" i="5"/>
  <c r="J56" i="5"/>
  <c r="J47" i="5"/>
  <c r="O47" i="5" s="1"/>
  <c r="M79" i="5"/>
  <c r="M53" i="7"/>
  <c r="M54" i="7" s="1"/>
  <c r="C10" i="4"/>
  <c r="J51" i="7"/>
  <c r="J55" i="7" s="1"/>
  <c r="J32" i="7"/>
  <c r="M171" i="6"/>
  <c r="M172" i="6" s="1"/>
  <c r="H43" i="6"/>
  <c r="J43" i="6" s="1"/>
  <c r="M70" i="6"/>
  <c r="M21" i="6"/>
  <c r="H117" i="6"/>
  <c r="J117" i="6" s="1"/>
  <c r="M45" i="6"/>
  <c r="M116" i="6"/>
  <c r="M17" i="6"/>
  <c r="H10" i="6"/>
  <c r="J10" i="6" s="1"/>
  <c r="M124" i="6"/>
  <c r="H27" i="6"/>
  <c r="J27" i="6" s="1"/>
  <c r="M121" i="6"/>
  <c r="M112" i="6"/>
  <c r="H85" i="6"/>
  <c r="J85" i="6" s="1"/>
  <c r="H73" i="6"/>
  <c r="J73" i="6" s="1"/>
  <c r="H18" i="6"/>
  <c r="J18" i="6" s="1"/>
  <c r="M120" i="6"/>
  <c r="M23" i="6"/>
  <c r="H22" i="6"/>
  <c r="J22" i="6" s="1"/>
  <c r="H42" i="6"/>
  <c r="J42" i="6" s="1"/>
  <c r="M39" i="6"/>
  <c r="H26" i="6"/>
  <c r="J26" i="6" s="1"/>
  <c r="H11" i="6"/>
  <c r="J11" i="6" s="1"/>
  <c r="H74" i="6"/>
  <c r="J74" i="6" s="1"/>
  <c r="H15" i="6"/>
  <c r="J15" i="6" s="1"/>
  <c r="M113" i="6"/>
  <c r="M52" i="6"/>
  <c r="H81" i="6"/>
  <c r="J81" i="6" s="1"/>
  <c r="H14" i="6"/>
  <c r="J14" i="6" s="1"/>
  <c r="M76" i="6"/>
  <c r="M72" i="6"/>
  <c r="M80" i="6"/>
  <c r="J168" i="6"/>
  <c r="M168" i="6"/>
  <c r="M155" i="6"/>
  <c r="M151" i="6"/>
  <c r="M147" i="6"/>
  <c r="M143" i="6"/>
  <c r="M139" i="6"/>
  <c r="M135" i="6"/>
  <c r="M131" i="6"/>
  <c r="H154" i="6"/>
  <c r="J154" i="6" s="1"/>
  <c r="H150" i="6"/>
  <c r="J150" i="6" s="1"/>
  <c r="J156" i="6" s="1"/>
  <c r="H146" i="6"/>
  <c r="J146" i="6" s="1"/>
  <c r="H142" i="6"/>
  <c r="J142" i="6" s="1"/>
  <c r="H138" i="6"/>
  <c r="J138" i="6" s="1"/>
  <c r="H134" i="6"/>
  <c r="J134" i="6" s="1"/>
  <c r="H130" i="6"/>
  <c r="J130" i="6" s="1"/>
  <c r="M123" i="6"/>
  <c r="M119" i="6"/>
  <c r="M115" i="6"/>
  <c r="M111" i="6"/>
  <c r="M107" i="6"/>
  <c r="M103" i="6"/>
  <c r="M99" i="6"/>
  <c r="M95" i="6"/>
  <c r="M91" i="6"/>
  <c r="M87" i="6"/>
  <c r="M83" i="6"/>
  <c r="H122" i="6"/>
  <c r="J122" i="6" s="1"/>
  <c r="H118" i="6"/>
  <c r="J118" i="6" s="1"/>
  <c r="H114" i="6"/>
  <c r="J114" i="6" s="1"/>
  <c r="H110" i="6"/>
  <c r="J110" i="6" s="1"/>
  <c r="H106" i="6"/>
  <c r="J106" i="6" s="1"/>
  <c r="H102" i="6"/>
  <c r="J102" i="6" s="1"/>
  <c r="H98" i="6"/>
  <c r="J98" i="6" s="1"/>
  <c r="H94" i="6"/>
  <c r="J94" i="6" s="1"/>
  <c r="H90" i="6"/>
  <c r="J90" i="6" s="1"/>
  <c r="H86" i="6"/>
  <c r="J86" i="6" s="1"/>
  <c r="H82" i="6"/>
  <c r="J82" i="6" s="1"/>
  <c r="J48" i="6"/>
  <c r="M49" i="6"/>
  <c r="H75" i="6"/>
  <c r="J75" i="6" s="1"/>
  <c r="H71" i="6"/>
  <c r="J71" i="6" s="1"/>
  <c r="H67" i="6"/>
  <c r="J67" i="6" s="1"/>
  <c r="H63" i="6"/>
  <c r="J63" i="6" s="1"/>
  <c r="H59" i="6"/>
  <c r="J59" i="6" s="1"/>
  <c r="H55" i="6"/>
  <c r="J55" i="6" s="1"/>
  <c r="H51" i="6"/>
  <c r="J51" i="6" s="1"/>
  <c r="H44" i="6"/>
  <c r="J44" i="6" s="1"/>
  <c r="H40" i="6"/>
  <c r="J40" i="6" s="1"/>
  <c r="H36" i="6"/>
  <c r="J36" i="6" s="1"/>
  <c r="H32" i="6"/>
  <c r="J32" i="6" s="1"/>
  <c r="H28" i="6"/>
  <c r="J28" i="6" s="1"/>
  <c r="H24" i="6"/>
  <c r="J24" i="6" s="1"/>
  <c r="H20" i="6"/>
  <c r="J20" i="6" s="1"/>
  <c r="H16" i="6"/>
  <c r="J16" i="6" s="1"/>
  <c r="H12" i="6"/>
  <c r="J12" i="6" s="1"/>
  <c r="J130" i="5"/>
  <c r="J135" i="5"/>
  <c r="O135" i="5" s="1"/>
  <c r="J139" i="5"/>
  <c r="O139" i="5" s="1"/>
  <c r="J138" i="5"/>
  <c r="J136" i="5"/>
  <c r="O136" i="5" s="1"/>
  <c r="J134" i="5"/>
  <c r="O134" i="5" s="1"/>
  <c r="J140" i="5"/>
  <c r="O140" i="5" s="1"/>
  <c r="J131" i="5"/>
  <c r="O131" i="5" s="1"/>
  <c r="J123" i="5"/>
  <c r="O123" i="5" s="1"/>
  <c r="J122" i="5"/>
  <c r="J111" i="5"/>
  <c r="O111" i="5" s="1"/>
  <c r="J98" i="5"/>
  <c r="J102" i="5"/>
  <c r="J100" i="5"/>
  <c r="O100" i="5" s="1"/>
  <c r="M100" i="5"/>
  <c r="J99" i="5"/>
  <c r="O99" i="5" s="1"/>
  <c r="J96" i="5"/>
  <c r="O96" i="5" s="1"/>
  <c r="J92" i="5"/>
  <c r="J91" i="5"/>
  <c r="J90" i="5"/>
  <c r="J87" i="5"/>
  <c r="O87" i="5" s="1"/>
  <c r="J83" i="5"/>
  <c r="O83" i="5" s="1"/>
  <c r="J75" i="5"/>
  <c r="O75" i="5" s="1"/>
  <c r="J79" i="5"/>
  <c r="J71" i="5"/>
  <c r="J76" i="5"/>
  <c r="M76" i="5"/>
  <c r="M71" i="5"/>
  <c r="J50" i="5"/>
  <c r="J42" i="5"/>
  <c r="O42" i="5" s="1"/>
  <c r="M57" i="5"/>
  <c r="M48" i="5"/>
  <c r="J31" i="5"/>
  <c r="M34" i="5"/>
  <c r="J80" i="5"/>
  <c r="J21" i="5"/>
  <c r="L122" i="5"/>
  <c r="M122" i="5" s="1"/>
  <c r="J60" i="5"/>
  <c r="O60" i="5" s="1"/>
  <c r="J15" i="5"/>
  <c r="J30" i="5"/>
  <c r="J23" i="5"/>
  <c r="J66" i="5"/>
  <c r="O66" i="5" s="1"/>
  <c r="J54" i="5"/>
  <c r="J45" i="5"/>
  <c r="J61" i="5"/>
  <c r="O61" i="5" s="1"/>
  <c r="J53" i="5"/>
  <c r="O53" i="5" s="1"/>
  <c r="J44" i="5"/>
  <c r="J58" i="5"/>
  <c r="O58" i="5" s="1"/>
  <c r="J41" i="5"/>
  <c r="M56" i="5"/>
  <c r="M49" i="5"/>
  <c r="M52" i="5"/>
  <c r="J27" i="5"/>
  <c r="J33" i="5"/>
  <c r="J26" i="5"/>
  <c r="M32" i="5"/>
  <c r="M25" i="5"/>
  <c r="J34" i="5"/>
  <c r="J28" i="5"/>
  <c r="J20" i="5"/>
  <c r="L138" i="5"/>
  <c r="M138" i="5" s="1"/>
  <c r="L74" i="5"/>
  <c r="M74" i="5" s="1"/>
  <c r="L82" i="5"/>
  <c r="M82" i="5" s="1"/>
  <c r="L18" i="5"/>
  <c r="J13" i="5"/>
  <c r="L130" i="5"/>
  <c r="M130" i="5" s="1"/>
  <c r="L90" i="5"/>
  <c r="M90" i="5" s="1"/>
  <c r="L26" i="5"/>
  <c r="M26" i="5" s="1"/>
  <c r="J12" i="5"/>
  <c r="L98" i="5"/>
  <c r="M98" i="5" s="1"/>
  <c r="L33" i="5"/>
  <c r="M33" i="5" s="1"/>
  <c r="L66" i="5"/>
  <c r="M66" i="5" s="1"/>
  <c r="L106" i="5"/>
  <c r="M106" i="5" s="1"/>
  <c r="L41" i="5"/>
  <c r="M41" i="5" s="1"/>
  <c r="J49" i="5"/>
  <c r="O49" i="5" s="1"/>
  <c r="J137" i="5"/>
  <c r="O137" i="5" s="1"/>
  <c r="J129" i="5"/>
  <c r="O129" i="5" s="1"/>
  <c r="J121" i="5"/>
  <c r="O121" i="5" s="1"/>
  <c r="J97" i="5"/>
  <c r="O97" i="5" s="1"/>
  <c r="J89" i="5"/>
  <c r="O89" i="5" s="1"/>
  <c r="J81" i="5"/>
  <c r="O81" i="5" s="1"/>
  <c r="J73" i="5"/>
  <c r="O73" i="5" s="1"/>
  <c r="J65" i="5"/>
  <c r="O65" i="5" s="1"/>
  <c r="J57" i="5"/>
  <c r="O57" i="5" s="1"/>
  <c r="J48" i="5"/>
  <c r="O48" i="5" s="1"/>
  <c r="J32" i="5"/>
  <c r="J25" i="5"/>
  <c r="J17" i="5"/>
  <c r="M55" i="7" l="1"/>
  <c r="M56" i="7" s="1"/>
  <c r="E11" i="4" s="1"/>
  <c r="O138" i="5"/>
  <c r="O130" i="5"/>
  <c r="O122" i="5"/>
  <c r="G143" i="5"/>
  <c r="O102" i="5"/>
  <c r="O101" i="5"/>
  <c r="O98" i="5"/>
  <c r="O90" i="5"/>
  <c r="O91" i="5"/>
  <c r="O41" i="5"/>
  <c r="O44" i="5"/>
  <c r="O50" i="5"/>
  <c r="O45" i="5"/>
  <c r="O56" i="5"/>
  <c r="O55" i="5"/>
  <c r="O54" i="5"/>
  <c r="O80" i="5"/>
  <c r="O74" i="5"/>
  <c r="O72" i="5"/>
  <c r="O71" i="5"/>
  <c r="O88" i="5"/>
  <c r="O92" i="5"/>
  <c r="O86" i="5"/>
  <c r="O76" i="5"/>
  <c r="O82" i="5"/>
  <c r="J78" i="5"/>
  <c r="O78" i="5" s="1"/>
  <c r="N78" i="5"/>
  <c r="O70" i="5"/>
  <c r="O79" i="5"/>
  <c r="O77" i="5"/>
  <c r="J69" i="5"/>
  <c r="O69" i="5" s="1"/>
  <c r="N69" i="5"/>
  <c r="M127" i="5"/>
  <c r="M113" i="5"/>
  <c r="M94" i="5"/>
  <c r="J127" i="5"/>
  <c r="M103" i="5"/>
  <c r="M67" i="5"/>
  <c r="M35" i="5"/>
  <c r="J94" i="5"/>
  <c r="M84" i="5"/>
  <c r="J113" i="5"/>
  <c r="M18" i="5"/>
  <c r="J56" i="7"/>
  <c r="D11" i="4" s="1"/>
  <c r="E10" i="4"/>
  <c r="M46" i="6"/>
  <c r="M77" i="6"/>
  <c r="M156" i="6"/>
  <c r="J125" i="6"/>
  <c r="M125" i="6"/>
  <c r="J77" i="6"/>
  <c r="J46" i="6"/>
  <c r="M141" i="5"/>
  <c r="J141" i="5"/>
  <c r="J103" i="5"/>
  <c r="J67" i="5"/>
  <c r="J18" i="5"/>
  <c r="J35" i="5"/>
  <c r="G144" i="5" l="1"/>
  <c r="O141" i="5"/>
  <c r="O127" i="5"/>
  <c r="J142" i="5"/>
  <c r="C6" i="4"/>
  <c r="M142" i="5"/>
  <c r="O142" i="5" s="1"/>
  <c r="O113" i="5"/>
  <c r="O103" i="5"/>
  <c r="O67" i="5"/>
  <c r="J84" i="5"/>
  <c r="O84" i="5" s="1"/>
  <c r="O94" i="5"/>
  <c r="C7" i="4"/>
  <c r="D10" i="4"/>
  <c r="M169" i="6"/>
  <c r="M174" i="6" s="1"/>
  <c r="E9" i="4" s="1"/>
  <c r="J169" i="6"/>
  <c r="C13" i="4" l="1"/>
  <c r="C12" i="4"/>
  <c r="J174" i="6"/>
  <c r="J37" i="5" l="1"/>
  <c r="M37" i="5"/>
  <c r="J38" i="5"/>
  <c r="M38" i="5"/>
  <c r="O38" i="5" l="1"/>
  <c r="M39" i="5"/>
  <c r="M143" i="5" s="1"/>
  <c r="J39" i="5"/>
  <c r="J143" i="5" l="1"/>
  <c r="N143" i="5" s="1"/>
  <c r="O39" i="5"/>
  <c r="O143" i="5"/>
  <c r="M144" i="5"/>
  <c r="E7" i="4" s="1"/>
  <c r="E13" i="4" s="1"/>
  <c r="E6" i="4"/>
  <c r="E12" i="4" s="1"/>
  <c r="J144" i="5"/>
  <c r="N144" i="5" s="1"/>
  <c r="D6" i="4"/>
  <c r="E14" i="4" l="1"/>
  <c r="D7" i="4"/>
  <c r="O144" i="5"/>
  <c r="D12" i="4"/>
  <c r="D13" i="4" l="1"/>
  <c r="D14" i="4"/>
</calcChain>
</file>

<file path=xl/sharedStrings.xml><?xml version="1.0" encoding="utf-8"?>
<sst xmlns="http://schemas.openxmlformats.org/spreadsheetml/2006/main" count="1938" uniqueCount="874">
  <si>
    <t>Lp.</t>
  </si>
  <si>
    <t>Podstawa wyceny</t>
  </si>
  <si>
    <t>Opis</t>
  </si>
  <si>
    <t>Jedn. miary</t>
  </si>
  <si>
    <t>Ilość</t>
  </si>
  <si>
    <t>Cena</t>
  </si>
  <si>
    <t>zł</t>
  </si>
  <si>
    <t>Wartość</t>
  </si>
  <si>
    <t>(5 x 6)</t>
  </si>
  <si>
    <t>1 d.1</t>
  </si>
  <si>
    <t>szt.</t>
  </si>
  <si>
    <t>2 d.1</t>
  </si>
  <si>
    <t>3 d.1</t>
  </si>
  <si>
    <t>4 d.1</t>
  </si>
  <si>
    <t>5 d.1</t>
  </si>
  <si>
    <t>m</t>
  </si>
  <si>
    <t>kpl.</t>
  </si>
  <si>
    <t>KNR AL-01 0111-03</t>
  </si>
  <si>
    <t>Koszt WM</t>
  </si>
  <si>
    <t>KNR 7-08 0604-01</t>
  </si>
  <si>
    <t>Montaż koryt kablowych stalowych</t>
  </si>
  <si>
    <t>KNNR 5 1102-02</t>
  </si>
  <si>
    <t>Montaż wsporników do koryt</t>
  </si>
  <si>
    <t>KSNR 5 0803-03</t>
  </si>
  <si>
    <t>Układanie ręczne kabli wielożyłowych o masie 1.0-2.0 kg/m w budynkach, w korytach oraz kanałach zamkniętych.</t>
  </si>
  <si>
    <t>KSNR 5 0803-05</t>
  </si>
  <si>
    <t>Układanie ręczne kabli wielożyłowych o masie 3.0-5.5 kg/m w budynkach w korytkach z mocowaniem</t>
  </si>
  <si>
    <t>KSNR 5 0308-01</t>
  </si>
  <si>
    <t>Linie zasilające prowadzone przewodami kabelkowymi w korytkach, na drabinkach i szachtach z mocowaniemo łącznym przekroju żył do 12 mm2 Cu (zasilanie wentylatorów dachowych)</t>
  </si>
  <si>
    <t>Rozdzielnice odbiorcze</t>
  </si>
  <si>
    <t>6 d.2</t>
  </si>
  <si>
    <t>KNR 5-14 0101-03</t>
  </si>
  <si>
    <t>Montaż przyścienny rozdzielnicy RP</t>
  </si>
  <si>
    <t>7 d.2</t>
  </si>
  <si>
    <t>Montaż przyścienny rozdzielnicy RUP</t>
  </si>
  <si>
    <t>Instalacje odbiorcze</t>
  </si>
  <si>
    <t>8 d.3</t>
  </si>
  <si>
    <t>KSNR 5 0503-01</t>
  </si>
  <si>
    <t>Montaż opraw oświetleniowych  compact w sufitach podwieszonych</t>
  </si>
  <si>
    <t>9 d.3</t>
  </si>
  <si>
    <t>KSNR 5 0503-03</t>
  </si>
  <si>
    <t>Montaż opraw oświetleniowych świetlówkowych 4x24W w stropie podwieszanym</t>
  </si>
  <si>
    <t>10 d.3</t>
  </si>
  <si>
    <t>KSNR 5 0502-02</t>
  </si>
  <si>
    <t>Montaż opraw oświetleniowych przykręcanych świetlówkowych 1x14W na ścianie</t>
  </si>
  <si>
    <t>11 d.3</t>
  </si>
  <si>
    <t>KSNR 5 0502-01</t>
  </si>
  <si>
    <t>Montaż opraw oświetleniowych awaryjnych przykręcanych</t>
  </si>
  <si>
    <t>12 d.3</t>
  </si>
  <si>
    <t>KSNR 5 0406-04</t>
  </si>
  <si>
    <t>Wypusty oświetleniowe wykonywane przewodami wtynkowymi w przychodniach, internatach, przychodniach szpitalach itp.na wyłącznik, przełącznik -podłoże z gipsu ( przewody liczone od głównej trasy w korycie kablowym )</t>
  </si>
  <si>
    <t>wyp.</t>
  </si>
  <si>
    <t>13 d.3</t>
  </si>
  <si>
    <t>KSNR 5 0406-05</t>
  </si>
  <si>
    <t>Wypusty oświetleniowe wykonywane przewodami wtynkowymi w przychodniach na oprawę awaryjną -podłoże z gipsu ( przewody liczone od głównej trasy w korycie kablowym )</t>
  </si>
  <si>
    <t>14 d.3</t>
  </si>
  <si>
    <t>KSNR 5 0307-04</t>
  </si>
  <si>
    <t>Przewody inst.oświetleniowej prowadzone w korytkach  wykonywane przewodami kabelkowymi o łącznym przekroju żył do 6 mm2  (liczone od rozdzielni do miejsc odejścia na wypusty oświetleniowe z koryt kablowych)</t>
  </si>
  <si>
    <t>15 d.3</t>
  </si>
  <si>
    <t>KSNR 5 0406-07</t>
  </si>
  <si>
    <t>Wypusty wykonywane przewodami wtynkowymi w przychodniach na gniazda wtykowe 10A/Z typu DATA w zestawach PEL -podłoże z gipsu ( liczone od głównej trasy w korycie kablowym )</t>
  </si>
  <si>
    <t>16 d.3</t>
  </si>
  <si>
    <t>Wypusty wykonywane przewodami wtynkowymi w przychodniach na gniazda wtykowe 10A/Z w zestawach PEL -podłoże z gipsu ( liczone od głównej trasy w korycie kablowym )</t>
  </si>
  <si>
    <t>17 d.3</t>
  </si>
  <si>
    <t>Wypusty wykonywane przewodami wtynkowymi w przychodniach na gniazda wtykowe 10A/Z ogólne oraz technologiczne -podłoże z gipsu ( liczone od głównej trasy w korycie kablowym )</t>
  </si>
  <si>
    <t>18 d.3</t>
  </si>
  <si>
    <t>Wypusty wykonywane przewodami wtynkowymi w przychodniach na odbiory technologiczne -podłoże z gipsu ( liczone od głównej trasy w korycie kablowym )</t>
  </si>
  <si>
    <t>19 d.3</t>
  </si>
  <si>
    <t>Wypusty wykonywane przewodami wtynkowymi w przychodniach na odbiory klimatyzacji i wentylacji -podłoże z gipsu ( liczone od głównej trasy w korycie kablowym )</t>
  </si>
  <si>
    <t>20 d.3</t>
  </si>
  <si>
    <t>KSNR 5 0403-04</t>
  </si>
  <si>
    <t>Wypust wykonywany przewodami w rurkach winidurowych karbowanych RVKLn  w przychodni na nagrzewnicę 3-faz.  -podłoże z cegły</t>
  </si>
  <si>
    <t>21 d.3</t>
  </si>
  <si>
    <t>KSNR 5 0307-05</t>
  </si>
  <si>
    <t>Przewody instalacji gniazd wtykowych i odbiorów technologicznych prowadzone w korytkach  wykonywane przewodami kabelkowymi o łącznym przekroju żył 6-12 mm2 Cu (liczone od rozdzielnic do miejsca odejścia na wypusty z koryt kablowych)</t>
  </si>
  <si>
    <t>Połączenia wyrównawcze</t>
  </si>
  <si>
    <t>22 d.4</t>
  </si>
  <si>
    <t>KSNR 5 0307-03</t>
  </si>
  <si>
    <t>Przewody prowadzone w korytkach i na drabinkach bez mocowania wykonywane przewodami izolowanymi pojedynczymi o łącznym przekroju żył 10-35 mm2</t>
  </si>
  <si>
    <t>23 d.4</t>
  </si>
  <si>
    <t>KSNR 5 0303-01</t>
  </si>
  <si>
    <t>Przewody prowadzone pod tynkiem w rurach winidurowych o średnicy 20 mm wykonywane przewodami izolowanymi pojedynczymi o łącznym przekroju żył do 12.5 mm2 -podłoże z cegły</t>
  </si>
  <si>
    <t>24 d.4</t>
  </si>
  <si>
    <t>KNNR-W 9 0607-01</t>
  </si>
  <si>
    <t>Montaż szyny wyrównania potencjałów</t>
  </si>
  <si>
    <t>25 d.4</t>
  </si>
  <si>
    <t>KNR-W 5-08 0620-01</t>
  </si>
  <si>
    <t>Montaż na rurach śr. do 30 mm uchwytów uziemiających skręcanych</t>
  </si>
  <si>
    <t>26 d.4</t>
  </si>
  <si>
    <t>KNNR 5 1304-01</t>
  </si>
  <si>
    <t>Badania i pomiary instalacji uziemiającej (pierwszy pomiar)</t>
  </si>
  <si>
    <t>27 d.4</t>
  </si>
  <si>
    <t>KNNR 5 1304-02</t>
  </si>
  <si>
    <t>Badania i pomiary instalacji uziemiającej (każdy następny pomiar)</t>
  </si>
  <si>
    <t>28 d.5</t>
  </si>
  <si>
    <t>Montaż elementów instalacji  przyzywowej NPS</t>
  </si>
  <si>
    <t>29 d.5</t>
  </si>
  <si>
    <t>Przewody instalacji przyzewowej NPS prowadzone w korytkach  wykonywane przewodami kabelkowymi o łącznym przekroju żył 6-12 mm2 Cu</t>
  </si>
  <si>
    <t>Instalacje teletechniczne</t>
  </si>
  <si>
    <t>30 d.6</t>
  </si>
  <si>
    <t>KSNR 5 0403-04 (analogia)</t>
  </si>
  <si>
    <t>Wypusty wykonywane przewodami w rurkach winidurowych karbowanych RVKLn p.t. w  PRZYCHODNIACH na gniazdo informatyczne RJ  (przewody liczone od głównej trasy w korycie kablowym) ( 2X30 wyp.)</t>
  </si>
  <si>
    <t>31 d.6</t>
  </si>
  <si>
    <t>KNR 7-08 0509-01</t>
  </si>
  <si>
    <t>Przewody instalacji teletechnicznych prowadzone w korytkach.</t>
  </si>
  <si>
    <t>32 d.6</t>
  </si>
  <si>
    <t>KNR 5-06 1708-01 (analogia)</t>
  </si>
  <si>
    <t>Montaż kompletnej szafki krosowniczej LPD</t>
  </si>
  <si>
    <t>33 d.6</t>
  </si>
  <si>
    <t>KNR AL-01 0404-07</t>
  </si>
  <si>
    <t>Montaż dodatkowych urządzeń i elementów SAP - dodatkowe wewnętrznych wskaźniki zadziałania w wyk. adresowym w uprzednio zainst. gniazdach i obudowach wraz ze sprawdzeniem</t>
  </si>
  <si>
    <t>34 d.6</t>
  </si>
  <si>
    <t>Montaż przewodów do wskaźników zadziałania czujek</t>
  </si>
  <si>
    <t>KOSZTY OGÓLNIE</t>
  </si>
  <si>
    <t>1.1</t>
  </si>
  <si>
    <t>Demontaż  ocieplenia  płyt styropianowych  w miejscu projektowanych  otworów okiennych -  R= 0,85, M=0</t>
  </si>
  <si>
    <t>m2</t>
  </si>
  <si>
    <t>1.2</t>
  </si>
  <si>
    <t>Cięcie elementów konstrukcji żelbetowych piłami diamentowymi przy zbrojeniu pojedynczym  - wycięcie dwóch otworów okiennych  w ścianie  zew. -  współczynnik do R= 0,9</t>
  </si>
  <si>
    <t>cm2</t>
  </si>
  <si>
    <t>1.3</t>
  </si>
  <si>
    <t>Wykonanie przesklepień otworów w ścianach z bloczków gazobetonowych z wykuciem bruzd dla belek</t>
  </si>
  <si>
    <t>m3</t>
  </si>
  <si>
    <t>1.4</t>
  </si>
  <si>
    <t>Wykonanie przesklepień otworów w ścianach z cegiel - dostarcz.i obsadz.belek stalowych do I NP 180 mm</t>
  </si>
  <si>
    <t>1.5</t>
  </si>
  <si>
    <t>Wykucie otworów w ścianacho grub. ponad 1/2ceg. na zaprawie wapiennej lub cementowo-wapiennej dla otworów drzwiowych  - z bloczków silka</t>
  </si>
  <si>
    <t>1.6</t>
  </si>
  <si>
    <t>Wykucie otworów w ścianach o grub. ponad 1/2ceg. na zaprawie wapiennej lub cementowo-wapiennej dla otworów  okiennych --  z  bloczków gazobetonowych</t>
  </si>
  <si>
    <t>1.7</t>
  </si>
  <si>
    <t>Wycięcie otworów w ściankach z płyt gipsowo-kartonowych na rusztach metalowych z pokryciem obustronnym dwuwarstwowym - patio</t>
  </si>
  <si>
    <t>1.8</t>
  </si>
  <si>
    <t>Transport gruzu z terenu rozbiórki przy ręcznym załadowaniu i wyładowaniu samochodem skrzyniowym na odl. do 1 km</t>
  </si>
  <si>
    <t>1.9</t>
  </si>
  <si>
    <t>Transport gruzu z terenu rozbiórki przy ręcznym załadowaniu i wyładowaniu samochodem ciezarowym - dod.za każdy nast.rozp. 1 km</t>
  </si>
  <si>
    <t>1.10</t>
  </si>
  <si>
    <t>Rusztowania ramowe elewacyjne o szer. 0,73 m i rozstawie podłużnym ram 2,57 m o wys. do 10 m</t>
  </si>
  <si>
    <t>2.1</t>
  </si>
  <si>
    <t>Ścianki dział.GR z płyt gips.-karton.na rusztach metal.pojed.z pokryciem obustr.dwuwarstw.75 2GKF / 2GKF, wełna mineralna 80kg/m3, EI30 na pełną wysokość - S1</t>
  </si>
  <si>
    <t>2.2</t>
  </si>
  <si>
    <t>Ścianki dział.GR z płyt gips.-karton.na rusztach metal.pojed.z pokryciem obustr.dwuwarstw.75 2GKF / 2GKFW, wełna mineralna 80kg/m3,  EI30 na pełną wysokość -S1+</t>
  </si>
  <si>
    <t>2.3</t>
  </si>
  <si>
    <t>2.4</t>
  </si>
  <si>
    <t>Ścianki dział.GR z płyt gips.-karton.na rusztach metal.pojed.z pokryciem obustr.dwuwarstw.75 2GK/ 2GKW , wełna mineralna 40 kg/m3, na pełną wysokość - S2+</t>
  </si>
  <si>
    <t>2.5</t>
  </si>
  <si>
    <t>Uzupełnienie ścianek dział.GR z płyt gips.-karton.na rusztach metal.pojed.z pokryciem obustr.jednowarstw.75 2xGK  - S2  obudowanych do 3,0 m, o pozostałe 2,37 m , tj. konstrukcja + płyta GK  o pow. 0,7 m2/m2</t>
  </si>
  <si>
    <t>2.6</t>
  </si>
  <si>
    <t>Obud. szchtów płytami gips.-karton.na rusztach metal.pojedyń.dwuwarstw.</t>
  </si>
  <si>
    <t>2.7</t>
  </si>
  <si>
    <t>Ścianki kabin sanitarnych - analogia</t>
  </si>
  <si>
    <t>2.8</t>
  </si>
  <si>
    <t>Ścianki dział.GR z płyt gips.-karton.na rusztach metal.pojed.z pokryciem obustr.dwuwarstw.100-02 , 2xGKF x 2 z wypełnienem wełną mineralną 80kg/m3  EI 120 , wzmocnienie profili -   współczynnik  do profili 1,1 -  S3</t>
  </si>
  <si>
    <t>2.9</t>
  </si>
  <si>
    <t>Ścianki dział.GR z płyt gips.-karton.na rusztach metal.pojed.z pokryciem jednostr.dwuwarstw.55-02-  2xGK , wzmocnienie profili współ. 1,1 - S4</t>
  </si>
  <si>
    <t>2.10</t>
  </si>
  <si>
    <t>Ścianki dział.GR z płyt gips.-karton.na rusztach metal.pojed.z pokryciem obustr.dwuwarstw.75 1xGKw+1xGK/2xGK, wypełninie wełną mineralną 80kg/m3, na pełną wysokość - S5</t>
  </si>
  <si>
    <t>2.11</t>
  </si>
  <si>
    <t>Ścianki dział.GR z płyt gips.-karton.na rusztach metal.pojed.z pokryciem obustr.jednowarstw.100-01 GKF, wełna mineralna 80 kg/m3, na pełna wysokość EI60 - S6</t>
  </si>
  <si>
    <t>2.12</t>
  </si>
  <si>
    <t>Ocieplenie ościeży z gazobetonu o szer. do 15 cm Ocieplenie ścian budynków płytami styropianowymi metodą lekką-mokrą wraz z przyg. podłoża i ręczne wyk. wyprawy elewacyjnej cienkowarstwowej z got. suchej mieszanki</t>
  </si>
  <si>
    <t>2.13</t>
  </si>
  <si>
    <t>Ocieplenie ścian budynków płytami styropianowymi metodą lekką-mokrą wraz z przyg. podłoża i ręczne wyk. wyprawy elewacyjnej cienkowarstwowej z got. suchej mieszanki - ochrona narożników kątownikiem metalowym</t>
  </si>
  <si>
    <t>2.14</t>
  </si>
  <si>
    <t>Obsadzenie podokienników zewnetrznych z blachy aluminiowej powlekanej w ścianach z cegieł</t>
  </si>
  <si>
    <t>2.15</t>
  </si>
  <si>
    <t>Uszczelnienie silikonem styków wypraw z oknami</t>
  </si>
  <si>
    <t>3.1</t>
  </si>
  <si>
    <t>3.2</t>
  </si>
  <si>
    <t>4.1</t>
  </si>
  <si>
    <t>Montaż okien rozwieranych i uchylno-rozwieranych jednodzielnych z PCV z obróbką obsadzenia o pow. do 1.5 m2  - O3L</t>
  </si>
  <si>
    <t>4.2</t>
  </si>
  <si>
    <t>Montaż okien rozwieranych i uchylno-rozwieranych jednodzielnych z PCV z obróbką obsadzenia o pow. ponad 1.5 m2  - O2L</t>
  </si>
  <si>
    <t>4.3</t>
  </si>
  <si>
    <t>Montaż okien uchylnych jednodzielnych z PCV z obróbką obsadzenia o pow. do 1.0 m2 - okno ze ściemnaiczem -  O11</t>
  </si>
  <si>
    <t>4.4</t>
  </si>
  <si>
    <t>Montaż okien rozwieranych i uchylno-rozwieranych dwudzielnych z PCV z obróbką obsadzenia o pow. ponad 2.5 m2, profil siedmiokomorowy - O1aL,O1aP, O1c</t>
  </si>
  <si>
    <t>4.5</t>
  </si>
  <si>
    <t>4.6</t>
  </si>
  <si>
    <t xml:space="preserve">  </t>
  </si>
  <si>
    <t>Oklejenie szyb okiennych od wewnątrz folią mleczną</t>
  </si>
  <si>
    <t>4.7</t>
  </si>
  <si>
    <t>4.8</t>
  </si>
  <si>
    <t>4.9</t>
  </si>
  <si>
    <t>Parapety  wewnętrzne z konglomeratu</t>
  </si>
  <si>
    <t>4.10</t>
  </si>
  <si>
    <t>Naświetle wewnętrzne aluminiowe EI60</t>
  </si>
  <si>
    <t>4.11</t>
  </si>
  <si>
    <t>Drzwi płytowe  wew  jednoskrzydłowe fabrycznie wykończone z ościeżnicą -  do toalet D1,D2, D3</t>
  </si>
  <si>
    <t>4.12</t>
  </si>
  <si>
    <t>Drzwi płytowe MDF wew  pełne jednoskrzydłowe fabrycznie wykończone  z ościeznicą - do toalet D3*</t>
  </si>
  <si>
    <t>4.13</t>
  </si>
  <si>
    <t>Drzwi płytowe  wew  pełne jednoskrzydłowe fabrycznie wykończone z ościeżnicą - D4,D5</t>
  </si>
  <si>
    <t>4.14</t>
  </si>
  <si>
    <t>Drzwi płytowe MDF wew  pełne jednoskrzydłowe fabrycznie wykończone z ościeżnicą D5*</t>
  </si>
  <si>
    <t>4.15</t>
  </si>
  <si>
    <t>Drzwi płytowe wew pełne  jednoskrzydłowe fabrycznie wykończone z ościeżnicą   kąt otwarcia skrzydła 180 D6</t>
  </si>
  <si>
    <t>4.16</t>
  </si>
  <si>
    <t>Drzwi płytowe wew  pełne jednoskrzydłowe fabrycznie wykończone -  D7 EI30</t>
  </si>
  <si>
    <t>4.17</t>
  </si>
  <si>
    <t xml:space="preserve">KNR-W 2-02 1040-0   </t>
  </si>
  <si>
    <t>Drzwi aluminiowe dwuskrzydłowe D8 EI60</t>
  </si>
  <si>
    <t>4.18</t>
  </si>
  <si>
    <t>Drzwi aluminiowe wejściowe dwuskrzydłowe z naświetlem D9  EI60</t>
  </si>
  <si>
    <t>4.19</t>
  </si>
  <si>
    <t>Skrzydła drzwiowe płytowe MDF wewnętrzne szklone jednoskrzydłowe o pow. ponad 1.6 m2 fabrycznie wykończone wraz z ościeznicą z zamkiem D11</t>
  </si>
  <si>
    <t>4.20</t>
  </si>
  <si>
    <t>Dodatek za samozamykacz</t>
  </si>
  <si>
    <t>kpl</t>
  </si>
  <si>
    <t>4.21</t>
  </si>
  <si>
    <t>Drzwi aluminiowe wejściowe dwuskrzydłowe z naświetlem bocznym EI60   D12</t>
  </si>
  <si>
    <t>4.22</t>
  </si>
  <si>
    <t xml:space="preserve">KNR-W 2-02 1024-0   </t>
  </si>
  <si>
    <t>Drzwi MDF wewnętrzne przesuwne fabrycznie wykończone D10</t>
  </si>
  <si>
    <t>4.23</t>
  </si>
  <si>
    <t>4.24</t>
  </si>
  <si>
    <t>Drzwi wewnętrzne przesuwne  ze szkła hartowanego</t>
  </si>
  <si>
    <t>5.1</t>
  </si>
  <si>
    <t>Uszczelnienie pomieszczeń mokrych i wilgotnych (łazienki, kuchnie pralnie itp.) oraz balkonów i tarasów pod okładziną ceramiczną płynną folią uszczelniającą Superflex 1; powierzchnie pionowe, bez wkładki z włókniny</t>
  </si>
  <si>
    <t>5.2</t>
  </si>
  <si>
    <t>Licowanie ścian płytkami o wymiarach 20 x 20 cm - na klej</t>
  </si>
  <si>
    <t>5.3</t>
  </si>
  <si>
    <t>Przecieranie istniejacych tynków wewn.z zeskrob.farby na ścianach</t>
  </si>
  <si>
    <t>5.4</t>
  </si>
  <si>
    <t>Jednokrotne gruntowanie  tynków</t>
  </si>
  <si>
    <t>5.5</t>
  </si>
  <si>
    <t>Okładziny  ścian  taflami  szklanymi z grafiką</t>
  </si>
  <si>
    <t>5.6</t>
  </si>
  <si>
    <t xml:space="preserve">KNR 2-02 1514-02 </t>
  </si>
  <si>
    <t>5.7</t>
  </si>
  <si>
    <t>Tapetowanie ścian na gotowym podłożu tapetą drukowaną</t>
  </si>
  <si>
    <t>5.8</t>
  </si>
  <si>
    <t>Cokół GERFLOR TARALAY</t>
  </si>
  <si>
    <t>5.9</t>
  </si>
  <si>
    <t>5.10</t>
  </si>
  <si>
    <t>Dwukrotne malowanie farbami lateksowymi powierzchni wewnętrznych - płyt gipsowych spoinowanych szpachlowanych z gruntowaniem</t>
  </si>
  <si>
    <t>5.11</t>
  </si>
  <si>
    <t>Uzup.tynk.zwyk.wew.kat.III z zapr.cem.-wap.na ścian.i słup.prostok.na podł.z betonu,zagrunt.siatek,płyt wiór.-cem. (do 1m2 w 1 miej.) - przyjęto 30% powierzchni</t>
  </si>
  <si>
    <t>5.12</t>
  </si>
  <si>
    <t>Jednokrotne gruntowanie  tynków &gt;3,0 m</t>
  </si>
  <si>
    <t>5.13</t>
  </si>
  <si>
    <t>Dwukrotne malowanie farbami emulsyjnymi powierzchni wewnętrznych - tynków gładkich bez gruntowania - &gt; 3,0 m</t>
  </si>
  <si>
    <t>5.14</t>
  </si>
  <si>
    <t>Dwukrotne malowanie farbami emulsyjnymi powierzchni wewnętrznych - płyt gipsowych spoinowanych szpachlowanych z gruntowaniem - &gt; 3,0 m</t>
  </si>
  <si>
    <t>5.15</t>
  </si>
  <si>
    <t>Odbojnica  SCR 80M  w korytarzu -  montaż</t>
  </si>
  <si>
    <t>6.1</t>
  </si>
  <si>
    <t xml:space="preserve">KNR 0-39 0115-0   </t>
  </si>
  <si>
    <t>Uszczelnienie pomieszczeń mokrych  płynną folią uszczelniającą AGUAFIN powierzchnie poziome,</t>
  </si>
  <si>
    <t>6.2</t>
  </si>
  <si>
    <t>Posadzki z płytek o wymiarach 30 x 30 cm, układanych metodą zwykłą</t>
  </si>
  <si>
    <t>6.3</t>
  </si>
  <si>
    <t>Cokoliki, z płytek o wymiarach 30 x 30 cm i wysokości cokolika równej 15 cm</t>
  </si>
  <si>
    <t>6.4</t>
  </si>
  <si>
    <t>Posadzki typu żywiczne- epoksydowe wylewano-szpachlowe EWS gr.3   mm - współ M=0,75</t>
  </si>
  <si>
    <t>6.5</t>
  </si>
  <si>
    <t>Warstwy niwelująco-wyrównawcze cementowe gr. 2 mm zatarte na gładko</t>
  </si>
  <si>
    <t>6.6</t>
  </si>
  <si>
    <t>Posadzki z wykładziny TARKETT</t>
  </si>
  <si>
    <t>6.7</t>
  </si>
  <si>
    <t>Posadzki z wykładzin z tworzyw sztucznych - zgrzewanie wykładzin rulonowych</t>
  </si>
  <si>
    <t>6.8</t>
  </si>
  <si>
    <t>Posadzki z tworzyw sztucznych listwy przyścienne z polichlorku winylu zgrzewane</t>
  </si>
  <si>
    <t>7.1</t>
  </si>
  <si>
    <t>Stopy fundamentowe betonowe, o obj.do 0.5m3</t>
  </si>
  <si>
    <t>7.2</t>
  </si>
  <si>
    <t>Izolacje z papy asfalt.na sucho pozioma - dwie warstwy</t>
  </si>
  <si>
    <t>7.3</t>
  </si>
  <si>
    <t>Montaz konstrukcji stalowej pod wentylatory - doliczyć stal</t>
  </si>
  <si>
    <t>t</t>
  </si>
  <si>
    <t>7.4</t>
  </si>
  <si>
    <t>Osadzenie  kotew HILTI # 12</t>
  </si>
  <si>
    <t>7.5</t>
  </si>
  <si>
    <t>Zakładanie osłon na ciągi przewodów z wykonaniem osłony - osłona z siatki zgrzewanej ocynkowanej 40x40 # 4</t>
  </si>
  <si>
    <t>7.6</t>
  </si>
  <si>
    <t>Montaż obiedniowego  pręta o śr.10mm do siatki - na dachu płaskim pokrytym papą na betonie</t>
  </si>
  <si>
    <t>7.7</t>
  </si>
  <si>
    <t>Czas pracy rusztowań grupy 1 (poz.:1.1,1.2,1.3,1.4,1.6,2.12,2.13,2.14)</t>
  </si>
  <si>
    <t>RAZEM Netto</t>
  </si>
  <si>
    <t>RAZEM Brutto</t>
  </si>
  <si>
    <t>Koszt LEK-TRANS</t>
  </si>
  <si>
    <t>(8x9)</t>
  </si>
  <si>
    <t>(11x12)</t>
  </si>
  <si>
    <t>Podstawa</t>
  </si>
  <si>
    <t>Cena jedn.</t>
  </si>
  <si>
    <t xml:space="preserve">ROBOTY ROZBIÓRKOWE  </t>
  </si>
  <si>
    <t xml:space="preserve">Razem dział: ROBOTY ROZBIÓRKOWE  </t>
  </si>
  <si>
    <t xml:space="preserve">ŚCIANY WEWNĘTRZNE, ELEWACJA  </t>
  </si>
  <si>
    <t xml:space="preserve">Razem dział: ŚCIANY WEWNĘTRZNE, ELEWACJA  </t>
  </si>
  <si>
    <t xml:space="preserve">SUFITY PODWIESZANE  </t>
  </si>
  <si>
    <t>(z.V) Sufity podwieszone o konstrukcji metalowej z wypełnieniem płytami rastrowymi  o oczku 10x10</t>
  </si>
  <si>
    <t>(z.V) Sufity podwieszone o konstrukcji metalowej z wypełnieniem płytami  gipsowymi modułowymi Ecophon Hygiene Gediva</t>
  </si>
  <si>
    <t xml:space="preserve">Razem dział: SUFITY PODWIESZANE  </t>
  </si>
  <si>
    <t xml:space="preserve">STOLARKA OKIENNA I DRZWIOWA  </t>
  </si>
  <si>
    <t>KNR 0-19 0928-12</t>
  </si>
  <si>
    <t xml:space="preserve">Razem dział: STOLARKA OKIENNA I DRZWIOWA  </t>
  </si>
  <si>
    <t xml:space="preserve">OKŁADZINY ŚCIENNE, MALOWANIE  </t>
  </si>
  <si>
    <t>Tapetowanie  ścian -  okładzina ścienna Altro Witrock współ. do R=1,5</t>
  </si>
  <si>
    <t xml:space="preserve">Razem dział: OKŁADZINY ŚCIENNE, MALOWANIE  </t>
  </si>
  <si>
    <t xml:space="preserve">POSADZKI  </t>
  </si>
  <si>
    <t xml:space="preserve">Razem dział: POSADZKI  </t>
  </si>
  <si>
    <t xml:space="preserve">Konstrukcja wsporcza pod wentylację  </t>
  </si>
  <si>
    <t xml:space="preserve"> Norma indyw.  </t>
  </si>
  <si>
    <t xml:space="preserve">Razem dział: Konstrukcja wsporcza pod wentylację  </t>
  </si>
  <si>
    <t>KOSZTORYS BUDOWOLANY</t>
  </si>
  <si>
    <t>1 d.1.1</t>
  </si>
  <si>
    <t>KNNR 4 0111-04</t>
  </si>
  <si>
    <t>2 d.1.1</t>
  </si>
  <si>
    <t>KNNR 4 0111-03</t>
  </si>
  <si>
    <t>3 d.1.1</t>
  </si>
  <si>
    <t>KNNR 4 0111-02</t>
  </si>
  <si>
    <t>4 d.1.1</t>
  </si>
  <si>
    <t>KNNR 4 0111-01</t>
  </si>
  <si>
    <t>5 d.1.1</t>
  </si>
  <si>
    <t>KNNR 4 0128-02</t>
  </si>
  <si>
    <t>Płukanie instalacji wodociągowej w budynkach niemieszkalnych</t>
  </si>
  <si>
    <t>6 d.1.1</t>
  </si>
  <si>
    <t>KNNR 4 0127-01</t>
  </si>
  <si>
    <t>Próba szczelności instalacji wodociągowych z rur z tworzyw sztucznych - próba zasadnicza (pulsacyjna)</t>
  </si>
  <si>
    <t>prob.</t>
  </si>
  <si>
    <t>7 d.1.1</t>
  </si>
  <si>
    <t>KNNR 4 0127-04</t>
  </si>
  <si>
    <t>Próba szczelności instalacji wodociągowych z rur z tworzyw sztucznych - dodatek (rurociąg o śr. do 63  mm)</t>
  </si>
  <si>
    <t>8 d.1.1</t>
  </si>
  <si>
    <t>KNR 0-31 0113-12</t>
  </si>
  <si>
    <t>Otuliny termoizolacyjne Thermaflex gr. 25 mm z nacięciem wzdłużnym; rurociąg o śr. 32 mm</t>
  </si>
  <si>
    <t>9 d.1.1</t>
  </si>
  <si>
    <t>Otuliny termoizolacyjne Thermaflex gr. 20 mm z nacięciem wzdłużnym; rurociąg o śr. 25 mm</t>
  </si>
  <si>
    <t>10 d.1.1</t>
  </si>
  <si>
    <t>Otuliny termoizolacyjne Thermaflex gr. 20 mm z nacięciem wzdłużnym; rurociąg o śr. 20 mm</t>
  </si>
  <si>
    <t>11 d.1.1</t>
  </si>
  <si>
    <t>Otuliny izolacyjne Kaiflex gr. 13 mm z nacięciem wzdłużnym; rurociąg o śr. 40 mm</t>
  </si>
  <si>
    <t>12 d.1.1</t>
  </si>
  <si>
    <t>Otuliny izolacyjne Kaiflex gr. 13 mm z nacięciem wzdłużnym; rurociąg o śr. 32 mm</t>
  </si>
  <si>
    <t>13 d.1.1</t>
  </si>
  <si>
    <t>Otuliny izolacyjne Kaiflex gr. 13 mm z nacięciem wzdłużnym; rurociąg o śr. 25 mm</t>
  </si>
  <si>
    <t>14 d.1.1</t>
  </si>
  <si>
    <t>Otuliny izolacyjne Kaiflex gr. 13 mm z nacięciem wzdłużnym; rurociąg o śr. 20 mm</t>
  </si>
  <si>
    <t>15 d.1.1</t>
  </si>
  <si>
    <t>KNR-W 2-15 0130-05</t>
  </si>
  <si>
    <t>Zawory kulowe o śr. nominalnej 40 mm</t>
  </si>
  <si>
    <t>16 d.1.1</t>
  </si>
  <si>
    <t>KNR-W 2-15 0130-04</t>
  </si>
  <si>
    <t>Zawory kulowe o śr. nominalnej 32 mm</t>
  </si>
  <si>
    <t>17 d.1.1</t>
  </si>
  <si>
    <t>KNR-W 2-15 0130-03</t>
  </si>
  <si>
    <t>Zawory przelotowe kulowe o śr. nominalnej 25 mm</t>
  </si>
  <si>
    <t>18 d.1.1</t>
  </si>
  <si>
    <t>KNR-W 2-15 0130-02</t>
  </si>
  <si>
    <t>Zawory przelotowe kulowe o śr. nominalnej 20 mm</t>
  </si>
  <si>
    <t>19 d.1.1</t>
  </si>
  <si>
    <t>KNR-W 2-15 0130-01</t>
  </si>
  <si>
    <t>Zawory regulacyjne instalacji cyrkulacji MTCV o śr. nominalnej 15 mm</t>
  </si>
  <si>
    <t>20 d.1.1</t>
  </si>
  <si>
    <t>KNR-W 2-15 0137-03</t>
  </si>
  <si>
    <t>Baterie umywalkowe jednouchwytowe o śr. nominalnej 15 mm</t>
  </si>
  <si>
    <t>21 d.1.1</t>
  </si>
  <si>
    <t>Baterie umywalkowe jednouchwytowe o śr. nominalnej 15 mm - niepełnosprawni</t>
  </si>
  <si>
    <t>22 d.1.1</t>
  </si>
  <si>
    <t>Baterie zlewozmywakowe jednouchwytowe o śr. nominalnej 15 mm</t>
  </si>
  <si>
    <t>23 d.1.1</t>
  </si>
  <si>
    <t>KNR-W 2-15 0137-09</t>
  </si>
  <si>
    <t>Baterie natryskowe z natryskiem przesuwnym o śr.nominalnej 15 mm</t>
  </si>
  <si>
    <t>24 d.1.1</t>
  </si>
  <si>
    <t>Baterie bidetowa o śr.nominalnej 15 mm</t>
  </si>
  <si>
    <t>25 d.1.1</t>
  </si>
  <si>
    <t>KNR-W 2-15 0132-01</t>
  </si>
  <si>
    <t>Zawory odcinający pod baterią o śr. nominalnej 15 mm /zlewozmywak, umywalka, bidet/</t>
  </si>
  <si>
    <t>26 d.1.1</t>
  </si>
  <si>
    <t>Zawory odcinający pod dolnopług o śr. nominalnej 15 mm</t>
  </si>
  <si>
    <t>27 d.1.1</t>
  </si>
  <si>
    <t>KNR-W 2-15 0135-01</t>
  </si>
  <si>
    <t>Zawory czerpalne o śr. nominalnej 15 mm</t>
  </si>
  <si>
    <t>28 d.1.1</t>
  </si>
  <si>
    <t>KNR-W 2-15 0116-01</t>
  </si>
  <si>
    <t>Dodatki za podejścia dopływowe w rurociągach o śr. zewnętrznej 20 mm</t>
  </si>
  <si>
    <t>29 d.1.1</t>
  </si>
  <si>
    <t>Dodatki za podejścia dopływowe w rurociągach o śr. zewnętrznej 20 mm fotel UNIT</t>
  </si>
  <si>
    <t>30 d.1.1</t>
  </si>
  <si>
    <t>KNR-W 2-15 0116-07</t>
  </si>
  <si>
    <t>Dodatki za podejścia dopływowe w rurociągach z tworzyw sztucznych do zaworów czerpalnych, baterii, płuczek o połączeniu elastycznym z tworzywa o śr. zewnętrznej 20 mm</t>
  </si>
  <si>
    <t>31 d.1.1</t>
  </si>
  <si>
    <t>KNR-W 2-15 0142-03</t>
  </si>
  <si>
    <t>Drzwiczki rewizyjne o wymiarach 200 x 250 mm</t>
  </si>
  <si>
    <t>32 d.1.1</t>
  </si>
  <si>
    <t>KNR 0-14 2010-07</t>
  </si>
  <si>
    <t>Wyciecie otworów w płytach gipsowo - kartonowych na rusztach metalowych z pokryciem jednostronnym</t>
  </si>
  <si>
    <t>33 d.1.1</t>
  </si>
  <si>
    <t>KNR 4-01 0336-03</t>
  </si>
  <si>
    <t>Wykucie bruzd 1/2x1/2 ceg. w ścianach z cegieł na zaprawie cementowo-wapiennej</t>
  </si>
  <si>
    <t>34 d.1.1</t>
  </si>
  <si>
    <t>KNR 4-01 0324-04</t>
  </si>
  <si>
    <t>Zamurowanie bruzd poziomych o przekroju 1/2x1/2 ceg.w ścianach z cegieł 'na pełno'</t>
  </si>
  <si>
    <t>35 d.1.1</t>
  </si>
  <si>
    <t>KNR-W 4-01 0208-03</t>
  </si>
  <si>
    <t>Przebicie otworów o pow.do 0.05 m2 w elementach z betonu żwirowego o grubości do 30 cm i wypełnienia masą p.poż</t>
  </si>
  <si>
    <t>36 d.1.1</t>
  </si>
  <si>
    <t>KNR-W 4-01 0109-09</t>
  </si>
  <si>
    <t>Wywiezienie gruzu spryzmowanego samochodami skrzyniowymi na odległość do 1 km</t>
  </si>
  <si>
    <t>37 d.1.1</t>
  </si>
  <si>
    <t>KNR-W 4-01 0109-10</t>
  </si>
  <si>
    <t>Wywiezienie gruzu spryzmowanego samochodami skrzyniowymi na każdy następny 1 km  /do 10 km/ Krotność = 10</t>
  </si>
  <si>
    <t>38 d.1.2</t>
  </si>
  <si>
    <t>KNR-W 2-15 0208-03</t>
  </si>
  <si>
    <t>Rurociągi z PVC kanalizacyjne o śr. 110 mm na ścianach w budynkach o połączeniach wciskowych</t>
  </si>
  <si>
    <t>39 d.1.2</t>
  </si>
  <si>
    <t>KNR-W 2-15 0208-02</t>
  </si>
  <si>
    <t>Rurociągi z PVC kanalizacyjne o śr. 75 mm na ścianach w budynkach o połączeniach wciskowych</t>
  </si>
  <si>
    <t>40 d.1.2</t>
  </si>
  <si>
    <t>KNR-W 2-15 0208-01</t>
  </si>
  <si>
    <t>Rurociągi z PVC kanalizacyjne o śr. 50 mm na ścianach w budynkach o połączeniach wciskowych</t>
  </si>
  <si>
    <t>41 d.1.2</t>
  </si>
  <si>
    <t>KNR-W 2-15 0222-02</t>
  </si>
  <si>
    <t>Czyszczaki z PVC kanalizacyjne o śr. 110 mm o połączeniach wciskowych</t>
  </si>
  <si>
    <t>42 d.1.2</t>
  </si>
  <si>
    <t>KNR-W 2-15 0222-01</t>
  </si>
  <si>
    <t>Czyszczaki z PVC kanalizacyjne o śr. 75 mm o połączeniach wciskowych</t>
  </si>
  <si>
    <t>43 d.1.2</t>
  </si>
  <si>
    <t>KNR-W 2-15 0230-02</t>
  </si>
  <si>
    <t>Umywalki pojedyncze porcelanowe z syfonem gruszkowym</t>
  </si>
  <si>
    <t>44 d.1.2</t>
  </si>
  <si>
    <t>Umywalki pojedyncze porcelanowe z syfonem gruszkowym - niepełnosprawni</t>
  </si>
  <si>
    <t>45 d.1.2</t>
  </si>
  <si>
    <t>KNR-W 2-15 0230-05</t>
  </si>
  <si>
    <t>Postument porcelanowy do umywalek</t>
  </si>
  <si>
    <t>46 d.1.2</t>
  </si>
  <si>
    <t>Postument porcelanowy do umywalek - niepełnosprawni</t>
  </si>
  <si>
    <t>47 d.1.2</t>
  </si>
  <si>
    <t>KNR-W 2-15 0233-03</t>
  </si>
  <si>
    <t>Ustępy z płuczką ustępową typu "kompakt"</t>
  </si>
  <si>
    <t>48 d.1.2</t>
  </si>
  <si>
    <t>Ustępy z płuczką ustępową typu "kompakt" - niepełnosprawni</t>
  </si>
  <si>
    <t>49 d.1.2</t>
  </si>
  <si>
    <t>KNR-W 2-15 0234-02</t>
  </si>
  <si>
    <t>Pisuarypojedyncze z zaworem spłukującym</t>
  </si>
  <si>
    <t>50 d.1.2</t>
  </si>
  <si>
    <t>KNR-W 2-15 0234-05</t>
  </si>
  <si>
    <t>Bidety z baterią i syfonem</t>
  </si>
  <si>
    <t>51 d.1.2</t>
  </si>
  <si>
    <t>KNR-W 2-15 0232-02</t>
  </si>
  <si>
    <t>Brodziki natryskowe</t>
  </si>
  <si>
    <t>52 d.1.2</t>
  </si>
  <si>
    <t>Kabina, drzwi brodzikowe</t>
  </si>
  <si>
    <t>53 d.1.2</t>
  </si>
  <si>
    <t>KNR-W 2-15 0229-04</t>
  </si>
  <si>
    <t>Zlewozmywaki z blachy kwasoodpornej jednokomorowy</t>
  </si>
  <si>
    <t>54 d.1.2</t>
  </si>
  <si>
    <t>Zlewozmywaki z blachy kwasoodpornej jednokomorowy z płytą ociekową</t>
  </si>
  <si>
    <t>55 d.1.2</t>
  </si>
  <si>
    <t>Zlewozmywaki z blachy kwasoodpornej dwukomorowy</t>
  </si>
  <si>
    <t>56 d.1.2</t>
  </si>
  <si>
    <t>Zlewozmywaki z blachy kwasoodpornej dwukomorowy narożny</t>
  </si>
  <si>
    <t>57 d.1.2</t>
  </si>
  <si>
    <t>KNR-W 2-15 0218-02</t>
  </si>
  <si>
    <t>Syfony z tworzywa sztucznego o śr. 50 mm - zlewozmywakowy 1 komorowy</t>
  </si>
  <si>
    <t>58 d.1.2</t>
  </si>
  <si>
    <t>Syfony z tworzywa sztucznego o śr. 50 mm - zlewozmywakowy 2 komorowy</t>
  </si>
  <si>
    <t>59 d.1.2</t>
  </si>
  <si>
    <t>Syfony z tworzywa sztucznego o śr. 50 mm - brodzikowy</t>
  </si>
  <si>
    <t>60 d.1.2</t>
  </si>
  <si>
    <t>KNR-W 2-15 0211-03</t>
  </si>
  <si>
    <t>Dodatki za wykonanie podejść odpływowych z PVC o śr. 110 mm o połączeniach wciskowych</t>
  </si>
  <si>
    <t>podej.</t>
  </si>
  <si>
    <t>61 d.1.2</t>
  </si>
  <si>
    <t>KNR-W 2-15 0211-01</t>
  </si>
  <si>
    <t>Dodatki za wykonanie podejść odpływowych z PVC o śr. 50 mm o połączeniach wciskowych</t>
  </si>
  <si>
    <t>62 d.1.2</t>
  </si>
  <si>
    <t>Dodatki za wykonanie podejść odpływowych z PVC o śr. 50 mm o połączeniach wciskowych fotel UNIT</t>
  </si>
  <si>
    <t>63 d.1.2</t>
  </si>
  <si>
    <t>Przebicie otworów o pow.do 0.05 m2 w elementach z betonu żwirowego o grubości do 30 cm i zabezpieczeniem obejmą p.poż</t>
  </si>
  <si>
    <t>64 d.1.2</t>
  </si>
  <si>
    <t>65 d.1.2</t>
  </si>
  <si>
    <t>66 d.1.2</t>
  </si>
  <si>
    <t>67 d.1.3</t>
  </si>
  <si>
    <t>KNR-W 2-15 0404-01</t>
  </si>
  <si>
    <t>Rurociągi w instalacjach c.o. z tworzyw sztucznych o śr. 18 mm o połączeniach zaciskanych na ścianach w budynkach</t>
  </si>
  <si>
    <t>68 d.1.3</t>
  </si>
  <si>
    <t>Rurociągi w instalacjach c.o. z tworzyw sztucznych o śr. 16 mm o połączeniach zaciskanych na ścianach w budynkach</t>
  </si>
  <si>
    <t>69 d.1.3</t>
  </si>
  <si>
    <t>KNR-W 2-15 0128-02</t>
  </si>
  <si>
    <t>Płukanie instalacji centralnego ogrzewania</t>
  </si>
  <si>
    <t>70 d.1.3</t>
  </si>
  <si>
    <t>KNR-W 2-15 0406-03</t>
  </si>
  <si>
    <t>Próby szczelności instalacji c.o. z rur z tworzyw sztucznych - próba zasadnicza (pulsacyjna)</t>
  </si>
  <si>
    <t>próba</t>
  </si>
  <si>
    <t>71 d.1.3</t>
  </si>
  <si>
    <t>KNR-W 2-15 0406-05</t>
  </si>
  <si>
    <t>Próby szczelności instalacji c.o. z rur z tworzyw sztucznych - dodatek za próbę w budynkach niemieszkalnych</t>
  </si>
  <si>
    <t>72 d.1.3</t>
  </si>
  <si>
    <t>Otuliny termoizolacyjne Thermaflex FRZ gr. 20 mm z nacięciem wzdłużnym; rurociąg o śr. 20 mm</t>
  </si>
  <si>
    <t>73 d.1.3</t>
  </si>
  <si>
    <t>Otuliny termoizolacyjne Thermaflex FRZ gr. 20 mm z nacięciem wzdłużnym; rurociąg o śr. 15 mm</t>
  </si>
  <si>
    <t>74 d.1.3</t>
  </si>
  <si>
    <t>KNR-W 2-15 0429-01</t>
  </si>
  <si>
    <t>Rury przyłączne z tworzyw sztucznych o śr. zewn. 20 mm do grzejników</t>
  </si>
  <si>
    <t>75 d.1.3</t>
  </si>
  <si>
    <t>KNR-W 2-15 0418-01</t>
  </si>
  <si>
    <t>Grzejniki stalowe jednopłytowe o wys. 300-500 mm i dług. do 1600 mm  typ FTV 10-500/400</t>
  </si>
  <si>
    <t>76 d.1.3</t>
  </si>
  <si>
    <t>Grzejniki stalowe jednopłytowe o wys. 300-500 mm i dług. do 1600 mm  typ FTV 10-500/500</t>
  </si>
  <si>
    <t>77 d.1.3</t>
  </si>
  <si>
    <t>Grzejniki stalowe jednopłytowe o wys. 300-500 mm i dług. do 1600 mm  typ FTV 10-500/600</t>
  </si>
  <si>
    <t>78 d.1.3</t>
  </si>
  <si>
    <t>KNR-W 2-15 0418-03</t>
  </si>
  <si>
    <t>79 d.1.3</t>
  </si>
  <si>
    <t>KNR-W 2-15 0418-05</t>
  </si>
  <si>
    <t>Grzejniki stalowe dwupłytowe o wys. 300-500 mm i dług. do 1600 mm  typ FTV 20-300/1300</t>
  </si>
  <si>
    <t>80 d.1.3</t>
  </si>
  <si>
    <t>Grzejniki stalowe dwupłytowe o wys. 300-500 mm i dług. do 1600 mm  typ FTV 20-300/1400</t>
  </si>
  <si>
    <t>81 d.1.3</t>
  </si>
  <si>
    <t>82 d.1.3</t>
  </si>
  <si>
    <t>83 d.1.3</t>
  </si>
  <si>
    <t>KNR-W 2-15 0418-07</t>
  </si>
  <si>
    <t>Grzejniki stalowe dwupłytowe o wys. 600-900 mm i dług. do 1600 mm  typ FTV 20-600/400</t>
  </si>
  <si>
    <t>84 d.1.3</t>
  </si>
  <si>
    <t>Grzejniki stalowe dwupłytowe o wys. 600-900 mm i dług. do 1600 mm  typ FTV 20-600/600</t>
  </si>
  <si>
    <t>85 d.1.3</t>
  </si>
  <si>
    <t>Grzejniki stalowe dwupłytowe o wys. 600-900 mm i dług. do 1600 mm  typ FTV 20-600/700</t>
  </si>
  <si>
    <t>86 d.1.3</t>
  </si>
  <si>
    <t>Grzejniki stalowe dwupłytowe o wys. 600-900 mm i dług. do 1600 mm  typ FTV 20-600/500</t>
  </si>
  <si>
    <t>87 d.1.3</t>
  </si>
  <si>
    <t>Grzejniki stalowe dwupłytowe o wys. 600-900 mm i dług. do 1600 mm  typ FTV 20-600/800</t>
  </si>
  <si>
    <t>88 d.1.3</t>
  </si>
  <si>
    <t>Grzejniki stalowe dwupłytowe o wys. 600-900 mm i dług. do 1600 mm  typ FTV 20-600/900</t>
  </si>
  <si>
    <t>89 d.1.3</t>
  </si>
  <si>
    <t>Grzejniki stalowe dwupłytowe o wys. 600-900 mm i dług. do 1600 mm  typ FTV 20-600/1000</t>
  </si>
  <si>
    <t>90 d.1.3</t>
  </si>
  <si>
    <t>Grzejniki stalowe dwupłytowe o wys. 600-900 mm i dług. do 1600 mm  typ FTV 20-600/1100</t>
  </si>
  <si>
    <t>91 d.1.3</t>
  </si>
  <si>
    <t>Grzejniki stalowe dwupłytowe o wys. 600-900 mm i dług. do 1600 mm  typ FTV 20-600/1300</t>
  </si>
  <si>
    <t>92 d.1.3</t>
  </si>
  <si>
    <t>93 d.1.3</t>
  </si>
  <si>
    <t>94 d.1.3</t>
  </si>
  <si>
    <t>Grzejniki stalowe dwupłytowe o wys. 600-900 mm i dług. do 1600 mm  typ FTV 22-600/900</t>
  </si>
  <si>
    <t>95 d.1.3</t>
  </si>
  <si>
    <t>96 d.1.3</t>
  </si>
  <si>
    <t>Grzejniki stalowe dwupłytowe o wys. 600-900 mm i dług. do 1600 mm  typ FTV 20-900/1200</t>
  </si>
  <si>
    <t>97 d.1.3</t>
  </si>
  <si>
    <t>Grzejniki stalowe dwupłytowe o wys. 600-900 mm i dług. do 1600 mm  typ FTV 20-900/2000</t>
  </si>
  <si>
    <t>98 d.1.3</t>
  </si>
  <si>
    <t>99 d.1.3</t>
  </si>
  <si>
    <t>KNR-W 2-15 0411-01</t>
  </si>
  <si>
    <t>Głowice  termostatyczne o połączeniach gwintowanych o śr. nominalnej 15 mm</t>
  </si>
  <si>
    <t>100 d.1.3</t>
  </si>
  <si>
    <t>Zawory powrotne RLV o połączeniach gwintowanych o śr. nominalnej 15 mm</t>
  </si>
  <si>
    <t>101 d.1.3</t>
  </si>
  <si>
    <t>KNR-W 2-15 0412-07</t>
  </si>
  <si>
    <t>Zawory odpowietrzające automatyczne o śr. 15 mm</t>
  </si>
  <si>
    <t>102 d.1.3</t>
  </si>
  <si>
    <t>Zawory kulowe mufowe przed odpowietrznikiem o śr. 15 mm</t>
  </si>
  <si>
    <t>103 d.1.3</t>
  </si>
  <si>
    <t>KNR-W 2-15 0411-02</t>
  </si>
  <si>
    <t>Zawory przelotowe kulowe o połączeniach gwintowanych o śr. nominalnej 20 mm</t>
  </si>
  <si>
    <t>104 d.1.3</t>
  </si>
  <si>
    <t>Zawory przelotowe kulowe o połączeniach gwintowanych o śr. nominalnej 15 mm</t>
  </si>
  <si>
    <t>105 d.1.3</t>
  </si>
  <si>
    <t>Zawory regulacyjne STAD o połączeniach gwintowanych o śr. nominalnej 20 mm</t>
  </si>
  <si>
    <t>106 d.1.3</t>
  </si>
  <si>
    <t>Zawory regulacyjne STAD o połączeniach gwintowanych o śr. nominalnej 15 mm</t>
  </si>
  <si>
    <t>107 d.1.3</t>
  </si>
  <si>
    <t>KNR-W 4-02 0505-03</t>
  </si>
  <si>
    <t>Wstawienie odgałęzienia z rur stalowych o śr. 40 mm</t>
  </si>
  <si>
    <t>108 d.1.3</t>
  </si>
  <si>
    <t>KNR-W 4-02 0505-02</t>
  </si>
  <si>
    <t>Wstawienie odgałęzienia z rur stalowych o śr. 32 mm</t>
  </si>
  <si>
    <t>109 d.1.3</t>
  </si>
  <si>
    <t>KNR-W 4-02 0505-01</t>
  </si>
  <si>
    <t>Wstawienie odgałęzienia z rur stalowych o śr. 15 mm</t>
  </si>
  <si>
    <t>110 d.1.3</t>
  </si>
  <si>
    <t>Przejścia p.poż Ei 120 dla przewodów z rur z wypełnieniem ogniochronną elastyczną masą uszczelniająca</t>
  </si>
  <si>
    <t>KNR 2-17 0208-01</t>
  </si>
  <si>
    <t>Wentylatory dachowe stalowe lub z polichlorku winylu o śr.otworu ssącego do 200 mm (masa do 25 kg) typ RF2-160 z regulatorem prędkości obrotowej</t>
  </si>
  <si>
    <t>KNR 2-17 0131-02</t>
  </si>
  <si>
    <t>Przepustnice jednopłaszczyznowe stalowe kołowe,typ B do przewodów o śr.do 200 mm - 160</t>
  </si>
  <si>
    <t>113 d.1.4</t>
  </si>
  <si>
    <t>KNR 2-17 0131-03</t>
  </si>
  <si>
    <t>Przepustnice jednopłaszczyznowe stalowe kołowe,typ B do przewodów o śr.do 315 mm - 250</t>
  </si>
  <si>
    <t>114 d.1.4</t>
  </si>
  <si>
    <t>Przepustnice jednopłaszczyznowe stalowe kołowe,typ B do przewodów o śr.do 315 mm 315</t>
  </si>
  <si>
    <t>115 d.1.4</t>
  </si>
  <si>
    <t>KNR 2-17 0131-04</t>
  </si>
  <si>
    <t>Przepustnice jednopłaszczyznowe stalowe kołowe,typ B do przewodów o śr.do 400 mm - 400</t>
  </si>
  <si>
    <t>116 d.1.4</t>
  </si>
  <si>
    <t>KNR 2-17 0155-02</t>
  </si>
  <si>
    <t>Tłumiki akustyczne rurowe proste i opływowe o śr.do 200 mm -125</t>
  </si>
  <si>
    <t>117 d.1.4</t>
  </si>
  <si>
    <t>KNR 2-17 0154-06</t>
  </si>
  <si>
    <t>Tłumiki akustyczne płytowe prostokątne o obw.do 4500 mm</t>
  </si>
  <si>
    <t>118 d.1.4</t>
  </si>
  <si>
    <t>KNR 2-17 0140-02</t>
  </si>
  <si>
    <t>Anemostaty kołowe typ D o śr.do 280 mm wirowy D 250</t>
  </si>
  <si>
    <t>119 d.1.4</t>
  </si>
  <si>
    <t>KNR 2-17 0140-03</t>
  </si>
  <si>
    <t>Anemostaty kołowe typ D o śr.do 400 mm wirowy D 400</t>
  </si>
  <si>
    <t>120 d.1.4</t>
  </si>
  <si>
    <t>Anemostaty kołowe typ D o śr.do 280 mm wirowy D 250 z filtrem absolutnym</t>
  </si>
  <si>
    <t>121 d.1.4</t>
  </si>
  <si>
    <t>KNR 2-17 0140-01</t>
  </si>
  <si>
    <t>Zawór wentylacyjny o śr.do 160 mm - fi 100 mm</t>
  </si>
  <si>
    <t>122 d.1.4</t>
  </si>
  <si>
    <t>Zawór wentylacyjny o śr.do 160 mm - fi 125 mm</t>
  </si>
  <si>
    <t>123 d.1.4</t>
  </si>
  <si>
    <t>Zawór wentylacyjny o śr.do 160 mm - fi 160 mm</t>
  </si>
  <si>
    <t>124 d.1.4</t>
  </si>
  <si>
    <t>Zawór wentylacyjny o śr.do 280 mm - fi 200 mm</t>
  </si>
  <si>
    <t>125 d.1.4</t>
  </si>
  <si>
    <t>KNR 2-17 0141-06</t>
  </si>
  <si>
    <t>Okapy wentylacyjne stalowe prostokątne typ A o obwodzie do 4000 mm</t>
  </si>
  <si>
    <t>126 d.1.4</t>
  </si>
  <si>
    <t>KNR 2-17 0135-04</t>
  </si>
  <si>
    <t>Klapa p.poż 1000x600 mm, Ei 120</t>
  </si>
  <si>
    <t>127 d.1.4</t>
  </si>
  <si>
    <t>Klapa p.poż 800x700 mm, Ei 120</t>
  </si>
  <si>
    <t>128 d.1.4</t>
  </si>
  <si>
    <t>KNR 2-17 0136-03</t>
  </si>
  <si>
    <t>Klapa p.poż o średnicy 315 mm, Ei 120</t>
  </si>
  <si>
    <t>129 d.1.4</t>
  </si>
  <si>
    <t>KNR-W 2-15 0432-03</t>
  </si>
  <si>
    <t>Dostawa i montaż nagrzewnicy elektrycznej 800x700; 7,5 kW; 400 V</t>
  </si>
  <si>
    <t>130 d.1.4</t>
  </si>
  <si>
    <t>Dostawa i montaż chłodnicy freonowej 1000x500; 3; 2,5.</t>
  </si>
  <si>
    <t>131 d.1.4</t>
  </si>
  <si>
    <t>Dostawa i montaż automatyki wentylatorów i nagrzewnic</t>
  </si>
  <si>
    <t>132 d.1.4</t>
  </si>
  <si>
    <t>KNR 2-17 0103-05</t>
  </si>
  <si>
    <t>Przewody wentylacyjne z blachy stalowej,prostokątne,typ A/I - udział kształtek do 65 %</t>
  </si>
  <si>
    <t>133 d.1.4</t>
  </si>
  <si>
    <t>KNR 2-17 0123-03</t>
  </si>
  <si>
    <t>Przewody wentylacyjne z blachy stalowej,kolowe,typ S(Spiro) - udzial kształtek do 55 %</t>
  </si>
  <si>
    <t>134 d.1.4</t>
  </si>
  <si>
    <t>KNR 2-17 0121-04</t>
  </si>
  <si>
    <t>Przewody wentylacyjne z blachy aluminiowej,kołowe,typ B/I - udział kształtek do 65 %</t>
  </si>
  <si>
    <t>135 d.1.4</t>
  </si>
  <si>
    <t>KNR 7-24 0148-02 S.02.02.04</t>
  </si>
  <si>
    <t>Montaż konstrukcji wsporczej na do zamocowania urządzeń</t>
  </si>
  <si>
    <t>kg</t>
  </si>
  <si>
    <t>136 d.1.4</t>
  </si>
  <si>
    <t>Uruchomienie wentylacji i uzyskanie temperatur  1 układ</t>
  </si>
  <si>
    <t>137 d.1.4</t>
  </si>
  <si>
    <t>KNR BO-12 0356-03</t>
  </si>
  <si>
    <t>Mechaniczne przebicie otworów o pow. do 0,05 m2 w ścianach o gr. do 3 cegieł</t>
  </si>
  <si>
    <t>138 d.1.4</t>
  </si>
  <si>
    <t>139 d.1.4</t>
  </si>
  <si>
    <t>142 d.1.5</t>
  </si>
  <si>
    <t>143 d.1.5</t>
  </si>
  <si>
    <t>144 d.1.5</t>
  </si>
  <si>
    <t>145 d.1.5</t>
  </si>
  <si>
    <t>146 d.1.5</t>
  </si>
  <si>
    <t>147 d.1.5</t>
  </si>
  <si>
    <t>148 d.1.5</t>
  </si>
  <si>
    <t>149 d.1.5</t>
  </si>
  <si>
    <t>150 d.1.5</t>
  </si>
  <si>
    <t>151 d.1.5</t>
  </si>
  <si>
    <t>Roboty demontażowe</t>
  </si>
  <si>
    <t>KNR-W 4-02 40201-02</t>
  </si>
  <si>
    <t>Demontaż przewodów wentylacyjnych z blachy stalowej o przekroju prostokątnym lub okrągłym i obwodzie do 2200 mm</t>
  </si>
  <si>
    <t>KNR-W 4-02 40201-01</t>
  </si>
  <si>
    <t>Demontaż przewodów wentylacyjnych z blachy stalowej o przekroju prostokątnym lub okrągłym i obwodzie do 1000 mm</t>
  </si>
  <si>
    <t>KNR-W 4-02 40203-04</t>
  </si>
  <si>
    <t>Demontaż kratek ze stali profilowanej z żaluzjami i mechanizmem nastawczym - odkręcenie kratki o obwodzie do 1000 mm</t>
  </si>
  <si>
    <t>Demontaż anemostatów stlowych o średnicy do 1000 mm</t>
  </si>
  <si>
    <t>KNR-W 4-02 40205-01</t>
  </si>
  <si>
    <t>Demontaż przepustnic z blachy stalowej wraz z mechanizmem nastawczym, okrągłych o średnicy do 100 mm</t>
  </si>
  <si>
    <t>KNR-W 4-02 40205-02</t>
  </si>
  <si>
    <t>Demontaż przepustnic z blachy stalowej wraz z mechanizmem nastawczym, okrągłych o średnicy do 200 mm</t>
  </si>
  <si>
    <t>KNR-W 4-02 0229-08</t>
  </si>
  <si>
    <t>Demontaż rurociągu z PVC o śr. 110 mm na ścianach budynku</t>
  </si>
  <si>
    <t>Demontaż rurociągu z PVC o śr. 75 mm na ścianach budynku</t>
  </si>
  <si>
    <t>KNR-W 4-01 0109-01</t>
  </si>
  <si>
    <t>Wywóz złomu samochodami skrzyniowymi na odległość do 1 km</t>
  </si>
  <si>
    <t>KNR-W 4-01 0109-04</t>
  </si>
  <si>
    <t>Wywóz złomu samochodami skrzyniowymi na każdy następny 1 km Krotność = 10</t>
  </si>
  <si>
    <t>Instalacja wodociągowa CPV 45330000-9</t>
  </si>
  <si>
    <t>Instalacja kanalizacji sanitarnej CPV 45330000-9</t>
  </si>
  <si>
    <t>Instalacja centralnego ogrzewania CPV 45331100-7</t>
  </si>
  <si>
    <t>Razem dział: Instalacja centralnego ogrzewania CPV 45331100-7</t>
  </si>
  <si>
    <t>Wentylacja mechaniczna CPV 45331000-6</t>
  </si>
  <si>
    <t>Razem dział: Wentylacja mechaniczna CPV 45331000-6</t>
  </si>
  <si>
    <t>Razem dział: Roboty demontażowe</t>
  </si>
  <si>
    <t>Rodzaj robót:</t>
  </si>
  <si>
    <t>koszty całość</t>
  </si>
  <si>
    <t>koszty LEK-TRANS</t>
  </si>
  <si>
    <t>Koszty WM</t>
  </si>
  <si>
    <t>budowlane</t>
  </si>
  <si>
    <t>netto</t>
  </si>
  <si>
    <t>brutto</t>
  </si>
  <si>
    <t>sanitarne</t>
  </si>
  <si>
    <t>elektryczne</t>
  </si>
  <si>
    <t>ŁĄCZNIE netto</t>
  </si>
  <si>
    <t>ŁĄCZNIE brutto</t>
  </si>
  <si>
    <t>Rurociągi z tworzyw sztucznych (PE-RT) o śr. zewnętrznej 40 mm</t>
  </si>
  <si>
    <t>Rurociągi z tworzyw sztucznych (PE-RT) o śr. zewnętrznej 32 mm</t>
  </si>
  <si>
    <t>Rurociągi z tworzyw sztucznych (PE-RT) o śr. zewnętrznej 25 mm</t>
  </si>
  <si>
    <t>Rurociągi z tworzyw sztucznych (PE-RT) o śr. zewnętrznej 20 mm</t>
  </si>
  <si>
    <t>Grzejniki stalowe jednopłytowe o wys. 600-900 mm i dług. do 1600 mm  typ FTM 10-600/400</t>
  </si>
  <si>
    <t>KNR-W 2-15 0418-09</t>
  </si>
  <si>
    <t>Grzejniki stalowe trzypłytowe o wys. 300-500 mm i dług. do 1600 mm  typ FTV 30-300/1600</t>
  </si>
  <si>
    <t>KNR-W 2-15 0418-10</t>
  </si>
  <si>
    <t>Grzejniki stalowe trzypłytowe o wys. 300-500 mm i dług. do 3000 mm  typ FTV 30-300/3000</t>
  </si>
  <si>
    <t>Grzejniki stalowe dwupłytowe o wys. 600-900 mm i dług. do 1600 mm  typ FTM 22-600/700</t>
  </si>
  <si>
    <t>Grzejniki stalowe dwupłytowe o wys. 600-900 mm i dług. do 1600 mm  typ FTM 22-600/1200</t>
  </si>
  <si>
    <t>KNR-W 2-15 0425-01</t>
  </si>
  <si>
    <t>Grzejniki stalowe łazienkowe o wysokości do 800 mm  typ B-20-390/751</t>
  </si>
  <si>
    <t>KNR-W 2-15 0425-03</t>
  </si>
  <si>
    <t>Grzejniki stalowe łazienkowe o wysokości do 1800 mm  typ B-20-590/1511</t>
  </si>
  <si>
    <t>Grzejniki stalowe łazienkowe o wysokości do 1800 mm  typ B-20-740/1770</t>
  </si>
  <si>
    <t>KNR-W 2-15 0412-02</t>
  </si>
  <si>
    <t>Zawory grzejnikowe o śr. nominalnej 15 mm termostatyczne grzejniki B-20</t>
  </si>
  <si>
    <t>111 d.1.3</t>
  </si>
  <si>
    <t>112 d.1.3</t>
  </si>
  <si>
    <t>140 d.1.4</t>
  </si>
  <si>
    <t>141 d.1.4</t>
  </si>
  <si>
    <t>Razem dział: Instalacja wodociągowa CPV 45330000-9</t>
  </si>
  <si>
    <t>Razem dział: Instalacja kanalizacji sanitarnej CPV 45330000-9</t>
  </si>
  <si>
    <t>KOSZTORYS Sanitarny</t>
  </si>
  <si>
    <t xml:space="preserve">KNR 0-17 2609-0   </t>
  </si>
  <si>
    <t xml:space="preserve">KNNR-W 3 0409-0    </t>
  </si>
  <si>
    <t xml:space="preserve">KNR 4-01 0313-0   </t>
  </si>
  <si>
    <t xml:space="preserve">KNR 4-01 0329-0   </t>
  </si>
  <si>
    <t xml:space="preserve">KNNR-W 3 0313-0   </t>
  </si>
  <si>
    <t xml:space="preserve">KNR 4-04 1101-0    </t>
  </si>
  <si>
    <t xml:space="preserve">KNR AT-05 1651-0   </t>
  </si>
  <si>
    <t xml:space="preserve">KNR 2-02 2003-0   </t>
  </si>
  <si>
    <t>Ścianki dział.GR z płyt gips.-karton.na rusztach metal.pojed.z pokryciem obustr.dwuwarstw.75 2GK/ 2GK, wełna mineralna 40kg/m3 - S2 - NA WYSOKOŚĆ 3 m</t>
  </si>
  <si>
    <t xml:space="preserve">KNR 2-02 2004-0    </t>
  </si>
  <si>
    <t xml:space="preserve">KNR 0-17 2610-0   </t>
  </si>
  <si>
    <t xml:space="preserve">KNR 0-17 2610-1   </t>
  </si>
  <si>
    <t xml:space="preserve">KNR 4-01 0321-0   </t>
  </si>
  <si>
    <t xml:space="preserve">KNR 0-29 0639-0   </t>
  </si>
  <si>
    <t xml:space="preserve">NNRNKB 202 2702-01 </t>
  </si>
  <si>
    <t>KNR 4-01 0354-10</t>
  </si>
  <si>
    <t>Demontaż okien</t>
  </si>
  <si>
    <t xml:space="preserve">KNR 0-19 1023-0   </t>
  </si>
  <si>
    <t xml:space="preserve">KNR 0-19 1023-1   </t>
  </si>
  <si>
    <t xml:space="preserve">KNR K-05 0209-0   </t>
  </si>
  <si>
    <t>Montaż wyposażenia okien w rolety wew - kaseta i prowadnica biała, sterowane ręcznie</t>
  </si>
  <si>
    <t>Montaż okien nierozwieranych dwudzielnych  z aluminium z obróbką obsadzenia o pow. ponad 2.5 m2,   - patio O4,O5</t>
  </si>
  <si>
    <t xml:space="preserve">KNR-W 2-02 2119-0    </t>
  </si>
  <si>
    <t xml:space="preserve">KNR-W 2-02 1022-0    </t>
  </si>
  <si>
    <t xml:space="preserve">KNR-W 2-02 1040-0    </t>
  </si>
  <si>
    <t xml:space="preserve">KNR-W 2-02 1024-0    </t>
  </si>
  <si>
    <t>Ścianki ze szkła hartowanego gr 10mm  wewnętrzne w pomieszczeniach administracji -S8</t>
  </si>
  <si>
    <t>4.25</t>
  </si>
  <si>
    <t>NZ</t>
  </si>
  <si>
    <t>Dodatek za wyposażenie drzwi zamykających w moduł elektrozaczepu SAP</t>
  </si>
  <si>
    <t>szt</t>
  </si>
  <si>
    <t xml:space="preserve">KNR 0-12 0829-0    </t>
  </si>
  <si>
    <t xml:space="preserve">KNR 4-01 0713-0   </t>
  </si>
  <si>
    <t xml:space="preserve">KNR 0-23 2611-0    </t>
  </si>
  <si>
    <t xml:space="preserve">KNR 2-02 1407-0   </t>
  </si>
  <si>
    <t xml:space="preserve">KNR 2-02 1514-0   </t>
  </si>
  <si>
    <t xml:space="preserve">KNR 2-02 1113-0    </t>
  </si>
  <si>
    <t xml:space="preserve">KNR 2-02 1505-0    </t>
  </si>
  <si>
    <t>Dwukrotne malowanie farbami  lateksowymi powierzchni wewnętrznych - tynków gładkich bez gruntowania</t>
  </si>
  <si>
    <t xml:space="preserve">KNR 4-01 0711-0   </t>
  </si>
  <si>
    <t xml:space="preserve">KNR 0-39 0115-0    </t>
  </si>
  <si>
    <t xml:space="preserve">KNR 0-12 1118-03    </t>
  </si>
  <si>
    <t xml:space="preserve">KNR 0-12 1119-0    </t>
  </si>
  <si>
    <t xml:space="preserve">KNR 2-02 1116-0   </t>
  </si>
  <si>
    <t xml:space="preserve">KNR-W 2-02 1105-01 </t>
  </si>
  <si>
    <t xml:space="preserve">KNR 2-02 1112-0    </t>
  </si>
  <si>
    <t xml:space="preserve">KNR 2-02 0203-0   </t>
  </si>
  <si>
    <t xml:space="preserve">KNR 2-02 0616-0   </t>
  </si>
  <si>
    <t xml:space="preserve">KNR 2-05 0904-0   </t>
  </si>
  <si>
    <t xml:space="preserve">KNR 5-08 0713-0   </t>
  </si>
  <si>
    <t xml:space="preserve">KNR 5-08 0604-0   </t>
  </si>
  <si>
    <t>Czas pracy rusztowań grupy 1 (poz.:1.1,1.2,1.3,1.4,1.6,2.13,2.14,2.15)</t>
  </si>
  <si>
    <t>Uodpornienie ogniowe ścian</t>
  </si>
  <si>
    <t>8.1</t>
  </si>
  <si>
    <t>Ściana A</t>
  </si>
  <si>
    <t>8.1.1</t>
  </si>
  <si>
    <t>KNR 9-01 0105-04</t>
  </si>
  <si>
    <t>Ściany  z bloków SILKA 120</t>
  </si>
  <si>
    <t>8.1.2</t>
  </si>
  <si>
    <t>KNR 2-02 0804-01</t>
  </si>
  <si>
    <t>Tynki wewn.zwykłe kat.IV wykon.mechanicznie na ścianach płaskich</t>
  </si>
  <si>
    <t>8.1.3</t>
  </si>
  <si>
    <t>KNR 4-01 0210-01</t>
  </si>
  <si>
    <t>Wykucie bruzd o przekroju do 0.023 m2 poziomych  w elem.z betonu żwirowego</t>
  </si>
  <si>
    <t>8.1.4</t>
  </si>
  <si>
    <t>kalkulacja indywidualna</t>
  </si>
  <si>
    <t>Przycięcia ścian działowych prostopadłych do dostawianej ścianki</t>
  </si>
  <si>
    <t>mb</t>
  </si>
  <si>
    <t>8.1.5</t>
  </si>
  <si>
    <t>KNR 2-02 0613-06</t>
  </si>
  <si>
    <t>Uzupełnienie wełny mineralnej skalnej</t>
  </si>
  <si>
    <t>8.1.6</t>
  </si>
  <si>
    <t>KNR 0-12 0829-03</t>
  </si>
  <si>
    <t>Cokół z płytek</t>
  </si>
  <si>
    <t>8.1.7</t>
  </si>
  <si>
    <t>KNR 2-02 1112-05 analogia</t>
  </si>
  <si>
    <t>Cokół z wykładziny PVC</t>
  </si>
  <si>
    <t>Razem dział: Ściana A</t>
  </si>
  <si>
    <t>8.2</t>
  </si>
  <si>
    <t>Ściana B</t>
  </si>
  <si>
    <t>8.2.1</t>
  </si>
  <si>
    <t>8.2.2</t>
  </si>
  <si>
    <t>KNR 2-02 0120-09</t>
  </si>
  <si>
    <t>Ścianki działowe pełne z cegieł - dodatek za zbrojenie</t>
  </si>
  <si>
    <t>8.2.3</t>
  </si>
  <si>
    <t>8.2.4</t>
  </si>
  <si>
    <t>KNR 4-01 0317-05</t>
  </si>
  <si>
    <t>Montaż belek stalowych DW 16</t>
  </si>
  <si>
    <t>8.2.5</t>
  </si>
  <si>
    <t>KNR 4-01 1212-02 analogia</t>
  </si>
  <si>
    <t>Konserwacja belek stalowych</t>
  </si>
  <si>
    <t>8.2.6</t>
  </si>
  <si>
    <t>KNR 2-02 1606-01</t>
  </si>
  <si>
    <t>Rusztowania rurowe</t>
  </si>
  <si>
    <t>8.2.7</t>
  </si>
  <si>
    <t>KNR 13-12 0404-05</t>
  </si>
  <si>
    <t>Przygotowanie marek stalowych</t>
  </si>
  <si>
    <t>8.2.8</t>
  </si>
  <si>
    <t>KNR 5-08 0803-05</t>
  </si>
  <si>
    <t>Mechaniczne wykonanie ślepych otworów w betonie objęt.do 0.5dm3</t>
  </si>
  <si>
    <t>8.2.9</t>
  </si>
  <si>
    <t>KNR 4-01 1304-04</t>
  </si>
  <si>
    <t>Spawanie stali profilowej do kształtowników</t>
  </si>
  <si>
    <t>m spoiny</t>
  </si>
  <si>
    <t>8.2.10</t>
  </si>
  <si>
    <t>KNR 4-01 0206-02 + kalk.ind.</t>
  </si>
  <si>
    <t>Osadzenie kotew stalowych w ścianie lub słupie żelbetowym</t>
  </si>
  <si>
    <t>8.2.11</t>
  </si>
  <si>
    <t>Uszczelnienie ogniochronne połączenia ściany ze stropem</t>
  </si>
  <si>
    <t>8.2.12</t>
  </si>
  <si>
    <t>KNR 2-02 0613-01</t>
  </si>
  <si>
    <t>Wełna mineralna pomiędzy ścianą a stropem</t>
  </si>
  <si>
    <t>Razem dział: Ściana B</t>
  </si>
  <si>
    <t>8.3</t>
  </si>
  <si>
    <t>Ściana C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</si>
  <si>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</si>
  <si>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</si>
  <si>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</si>
  <si>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</si>
  <si>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</si>
  <si>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</si>
  <si>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</si>
  <si>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</si>
  <si>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</si>
  <si>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</si>
  <si>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8.3.11</t>
  </si>
  <si>
    <t>8.3.12</t>
  </si>
  <si>
    <t>Razem dział: Ściana C</t>
  </si>
  <si>
    <t>Razem dział: Uodpornienie ogniowe ścian</t>
  </si>
  <si>
    <t>INSTALACJE WEWNĘTRZNE</t>
  </si>
  <si>
    <t>Razem dział: INSTALACJE WEWNĘTRZNE</t>
  </si>
  <si>
    <t>Rozbudowa SUG</t>
  </si>
  <si>
    <t>Razem dział: Rozbudowa SUG</t>
  </si>
  <si>
    <t>kosztorys SUG</t>
  </si>
  <si>
    <t>Rozbudowa sieci tyskaczy</t>
  </si>
  <si>
    <t>Wewnętrzne Linie Zasilające</t>
  </si>
  <si>
    <t>Razem dział: Wewnętrzne Linie Zasilające</t>
  </si>
  <si>
    <t>Razem dział: Rozdzielnice odbiorcze</t>
  </si>
  <si>
    <t>Razem dział: Instalacje odbiorcze</t>
  </si>
  <si>
    <t>Razem dział: Połączenia wyrównawcze</t>
  </si>
  <si>
    <t>Instalacja przyzewowa NPS</t>
  </si>
  <si>
    <t>Razem dział: Instalacja przyzewowa NPS</t>
  </si>
  <si>
    <t>Razem dział: Instalacje teletechniczne</t>
  </si>
  <si>
    <t>Instalacje DSO i SAP</t>
  </si>
  <si>
    <t>Razem dział: Instalacje DSO i SAP</t>
  </si>
  <si>
    <t>kosztorys DSO i SAP</t>
  </si>
  <si>
    <t>Dostosowanie DSO i SAP</t>
  </si>
  <si>
    <t>Udział procentowy</t>
  </si>
  <si>
    <t>Jedn.obm.</t>
  </si>
  <si>
    <t>Montaż okien nierozwieranych dwudzielnych  z aluminium z obróbką obsadzenia o pow. ponad 2.5 m2,   - patio O4,O5, 06,07</t>
  </si>
  <si>
    <t>Demontaż i montaż okna do patio nierozwieralne aluminium EI60 - patio 08,09</t>
  </si>
  <si>
    <t>4.26</t>
  </si>
  <si>
    <t>8.4</t>
  </si>
  <si>
    <t>ŚCIANY WEWNĘTRZNE</t>
  </si>
  <si>
    <t>Razem dział: ŚCIANY WEWNĘTRZNE</t>
  </si>
  <si>
    <t>ZAŁĄCZNIK nr 1 - Podział kosztów realizacji adaptacji pow. Ip. W CB GRAFIT na potrzeby przychodni LEK-TRANS</t>
  </si>
  <si>
    <t>ZAŁĄCZNIK nr 1 - branża budowlana -  Podział kosztów realizacji adaptacji pow. Ip. W CB GRAFIT na potrzeby przychodni LEK-TRANS</t>
  </si>
  <si>
    <t>ZAŁĄCZNIK nr 1 - branża sanitarna -  Podział kosztów realizacji adaptacji pow. Ip. W CB GRAFIT na potrzeby przychodni LEK-TRANS</t>
  </si>
  <si>
    <t>ZAŁĄCZNIK nr 1 - branża elektryczna -  Podział kosztów realizacji adaptacji pow. Ip. W CB GRAFIT na potrzeby przychodni LEK-TRANS</t>
  </si>
  <si>
    <t>Przedmiar - branża elektryczna -  przebudowa części I piętra na przychodnię specjalistyczną dla podmiotu  leczniczego zespół usług medycznych "LEK-TRANS" w budynku "GRAFIT"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</si>
</sst>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</numFmts>
  <fonts count="19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zcionka tekstu podstawowego"/>
      <charset val="238"/>
    </font>
    <font>
      <sz val="9"/>
      <color theme="1"/>
      <name val="Arial"/>
      <family val="2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92D050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rgb="FF92D050"/>
        <bgColor indexed="55"/>
      </patternFill>
    </fill>
    <fill>
      <patternFill patternType="solid">
        <fgColor rgb="FFFFFF00"/>
        <bgColor indexed="55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0" fontId="7" fillId="0" borderId="0" xfId="0" applyFont="1" applyFill="1"/>
    <xf numFmtId="43" fontId="6" fillId="9" borderId="1" xfId="1" applyFont="1" applyFill="1" applyBorder="1" applyAlignment="1">
      <alignment horizontal="center" vertical="center" wrapText="1"/>
    </xf>
    <xf numFmtId="43" fontId="6" fillId="9" borderId="4" xfId="1" applyFont="1" applyFill="1" applyBorder="1" applyAlignment="1" applyProtection="1">
      <alignment horizontal="center" vertical="center" wrapText="1"/>
    </xf>
    <xf numFmtId="43" fontId="6" fillId="8" borderId="1" xfId="1" applyFont="1" applyFill="1" applyBorder="1" applyAlignment="1">
      <alignment horizontal="center" vertical="center" wrapText="1"/>
    </xf>
    <xf numFmtId="43" fontId="6" fillId="8" borderId="4" xfId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 wrapText="1"/>
    </xf>
    <xf numFmtId="43" fontId="6" fillId="7" borderId="4" xfId="1" applyFont="1" applyFill="1" applyBorder="1" applyAlignment="1">
      <alignment horizontal="center" vertical="center" wrapText="1"/>
    </xf>
    <xf numFmtId="43" fontId="4" fillId="9" borderId="5" xfId="1" applyFont="1" applyFill="1" applyBorder="1" applyAlignment="1">
      <alignment horizontal="center" vertical="center" wrapText="1"/>
    </xf>
    <xf numFmtId="43" fontId="6" fillId="9" borderId="8" xfId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5" xfId="2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10" borderId="22" xfId="2" applyFont="1" applyFill="1" applyBorder="1" applyAlignment="1">
      <alignment horizontal="center"/>
    </xf>
    <xf numFmtId="0" fontId="3" fillId="0" borderId="23" xfId="2" applyFont="1" applyBorder="1" applyAlignment="1">
      <alignment horizontal="center"/>
    </xf>
    <xf numFmtId="164" fontId="3" fillId="10" borderId="24" xfId="3" applyNumberFormat="1" applyFont="1" applyFill="1" applyBorder="1" applyAlignment="1" applyProtection="1">
      <alignment vertical="center"/>
    </xf>
    <xf numFmtId="164" fontId="10" fillId="10" borderId="25" xfId="3" applyNumberFormat="1" applyFont="1" applyFill="1" applyBorder="1" applyAlignment="1" applyProtection="1">
      <alignment vertical="center"/>
    </xf>
    <xf numFmtId="43" fontId="0" fillId="0" borderId="0" xfId="0" applyNumberFormat="1"/>
    <xf numFmtId="43" fontId="0" fillId="0" borderId="0" xfId="1" applyFont="1" applyAlignment="1">
      <alignment horizontal="center" vertical="center"/>
    </xf>
    <xf numFmtId="43" fontId="4" fillId="8" borderId="5" xfId="1" applyFont="1" applyFill="1" applyBorder="1" applyAlignment="1">
      <alignment horizontal="center" vertical="center" wrapText="1"/>
    </xf>
    <xf numFmtId="43" fontId="6" fillId="8" borderId="8" xfId="1" applyFont="1" applyFill="1" applyBorder="1" applyAlignment="1">
      <alignment horizontal="center" vertical="center" wrapText="1"/>
    </xf>
    <xf numFmtId="43" fontId="4" fillId="7" borderId="5" xfId="1" applyFont="1" applyFill="1" applyBorder="1" applyAlignment="1">
      <alignment horizontal="center" vertical="center" wrapText="1"/>
    </xf>
    <xf numFmtId="43" fontId="6" fillId="7" borderId="8" xfId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43" fontId="0" fillId="6" borderId="9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3" fontId="6" fillId="9" borderId="9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0" fontId="9" fillId="8" borderId="22" xfId="2" applyFont="1" applyFill="1" applyBorder="1" applyAlignment="1">
      <alignment horizontal="center"/>
    </xf>
    <xf numFmtId="164" fontId="3" fillId="8" borderId="24" xfId="3" applyNumberFormat="1" applyFont="1" applyFill="1" applyBorder="1" applyAlignment="1" applyProtection="1">
      <alignment vertical="center"/>
    </xf>
    <xf numFmtId="164" fontId="10" fillId="8" borderId="25" xfId="3" applyNumberFormat="1" applyFont="1" applyFill="1" applyBorder="1" applyAlignment="1" applyProtection="1">
      <alignment vertical="center"/>
    </xf>
    <xf numFmtId="0" fontId="0" fillId="0" borderId="9" xfId="0" applyBorder="1"/>
    <xf numFmtId="0" fontId="0" fillId="6" borderId="9" xfId="0" applyFill="1" applyBorder="1"/>
    <xf numFmtId="0" fontId="6" fillId="0" borderId="8" xfId="2" applyFont="1" applyFill="1" applyBorder="1" applyAlignment="1">
      <alignment horizontal="center" vertical="center" wrapText="1"/>
    </xf>
    <xf numFmtId="43" fontId="6" fillId="9" borderId="5" xfId="1" applyFont="1" applyFill="1" applyBorder="1" applyAlignment="1">
      <alignment horizontal="center" vertical="center" wrapText="1"/>
    </xf>
    <xf numFmtId="43" fontId="6" fillId="8" borderId="7" xfId="1" applyFont="1" applyFill="1" applyBorder="1" applyAlignment="1">
      <alignment horizontal="center" vertical="center" wrapText="1"/>
    </xf>
    <xf numFmtId="43" fontId="6" fillId="7" borderId="7" xfId="1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43" fontId="6" fillId="9" borderId="14" xfId="1" applyFont="1" applyFill="1" applyBorder="1" applyAlignment="1">
      <alignment horizontal="center" vertical="center" wrapText="1"/>
    </xf>
    <xf numFmtId="43" fontId="6" fillId="8" borderId="11" xfId="1" applyFont="1" applyFill="1" applyBorder="1" applyAlignment="1">
      <alignment horizontal="center" vertical="center" wrapText="1"/>
    </xf>
    <xf numFmtId="43" fontId="6" fillId="7" borderId="11" xfId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9" borderId="7" xfId="2" applyFont="1" applyFill="1" applyBorder="1" applyAlignment="1">
      <alignment horizontal="center" vertical="center" wrapText="1"/>
    </xf>
    <xf numFmtId="43" fontId="14" fillId="9" borderId="5" xfId="1" applyFont="1" applyFill="1" applyBorder="1" applyAlignment="1">
      <alignment horizontal="center" vertical="center" wrapText="1"/>
    </xf>
    <xf numFmtId="43" fontId="14" fillId="9" borderId="1" xfId="1" applyFont="1" applyFill="1" applyBorder="1" applyAlignment="1">
      <alignment horizontal="center" vertical="center" wrapText="1"/>
    </xf>
    <xf numFmtId="43" fontId="14" fillId="9" borderId="4" xfId="1" applyFont="1" applyFill="1" applyBorder="1" applyAlignment="1" applyProtection="1">
      <alignment horizontal="center" vertical="center" wrapText="1"/>
    </xf>
    <xf numFmtId="43" fontId="14" fillId="8" borderId="7" xfId="1" applyFont="1" applyFill="1" applyBorder="1" applyAlignment="1">
      <alignment horizontal="center" vertical="center" wrapText="1"/>
    </xf>
    <xf numFmtId="43" fontId="14" fillId="8" borderId="1" xfId="1" applyFont="1" applyFill="1" applyBorder="1" applyAlignment="1">
      <alignment horizontal="center" vertical="center" wrapText="1"/>
    </xf>
    <xf numFmtId="43" fontId="14" fillId="8" borderId="4" xfId="1" applyFont="1" applyFill="1" applyBorder="1" applyAlignment="1">
      <alignment horizontal="center" vertical="center" wrapText="1"/>
    </xf>
    <xf numFmtId="43" fontId="14" fillId="7" borderId="7" xfId="1" applyFont="1" applyFill="1" applyBorder="1" applyAlignment="1">
      <alignment horizontal="center" vertical="center" wrapText="1"/>
    </xf>
    <xf numFmtId="43" fontId="14" fillId="7" borderId="1" xfId="1" applyFont="1" applyFill="1" applyBorder="1" applyAlignment="1">
      <alignment horizontal="center" vertical="center" wrapText="1"/>
    </xf>
    <xf numFmtId="43" fontId="14" fillId="7" borderId="4" xfId="1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9" borderId="11" xfId="2" applyFont="1" applyFill="1" applyBorder="1" applyAlignment="1">
      <alignment horizontal="center" vertical="center" wrapText="1"/>
    </xf>
    <xf numFmtId="43" fontId="14" fillId="9" borderId="14" xfId="1" applyFont="1" applyFill="1" applyBorder="1" applyAlignment="1">
      <alignment horizontal="center" vertical="center" wrapText="1"/>
    </xf>
    <xf numFmtId="43" fontId="14" fillId="8" borderId="11" xfId="1" applyFont="1" applyFill="1" applyBorder="1" applyAlignment="1">
      <alignment horizontal="center" vertical="center" wrapText="1"/>
    </xf>
    <xf numFmtId="43" fontId="14" fillId="7" borderId="11" xfId="1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9" borderId="13" xfId="2" applyFont="1" applyFill="1" applyBorder="1" applyAlignment="1">
      <alignment horizontal="center" vertical="center" wrapText="1"/>
    </xf>
    <xf numFmtId="43" fontId="14" fillId="9" borderId="15" xfId="1" applyFont="1" applyFill="1" applyBorder="1" applyAlignment="1">
      <alignment horizontal="center" vertical="center" wrapText="1"/>
    </xf>
    <xf numFmtId="43" fontId="12" fillId="9" borderId="5" xfId="1" applyFont="1" applyFill="1" applyBorder="1" applyAlignment="1">
      <alignment horizontal="center" vertical="center" wrapText="1"/>
    </xf>
    <xf numFmtId="43" fontId="14" fillId="9" borderId="8" xfId="1" applyFont="1" applyFill="1" applyBorder="1" applyAlignment="1" applyProtection="1">
      <alignment horizontal="center" vertical="center" wrapText="1"/>
    </xf>
    <xf numFmtId="43" fontId="14" fillId="8" borderId="12" xfId="1" applyFont="1" applyFill="1" applyBorder="1" applyAlignment="1">
      <alignment horizontal="center" vertical="center" wrapText="1"/>
    </xf>
    <xf numFmtId="43" fontId="12" fillId="8" borderId="3" xfId="1" applyFont="1" applyFill="1" applyBorder="1" applyAlignment="1">
      <alignment horizontal="center" vertical="center" wrapText="1"/>
    </xf>
    <xf numFmtId="43" fontId="14" fillId="8" borderId="10" xfId="1" applyFont="1" applyFill="1" applyBorder="1" applyAlignment="1">
      <alignment horizontal="center" vertical="center" wrapText="1"/>
    </xf>
    <xf numFmtId="43" fontId="14" fillId="7" borderId="12" xfId="1" applyFont="1" applyFill="1" applyBorder="1" applyAlignment="1">
      <alignment horizontal="center" vertical="center" wrapText="1"/>
    </xf>
    <xf numFmtId="43" fontId="12" fillId="7" borderId="3" xfId="1" applyFont="1" applyFill="1" applyBorder="1" applyAlignment="1">
      <alignment horizontal="center" vertical="center" wrapText="1"/>
    </xf>
    <xf numFmtId="43" fontId="14" fillId="7" borderId="10" xfId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6" borderId="9" xfId="0" applyFont="1" applyFill="1" applyBorder="1"/>
    <xf numFmtId="43" fontId="15" fillId="3" borderId="9" xfId="1" applyFont="1" applyFill="1" applyBorder="1" applyAlignment="1">
      <alignment horizontal="center" vertical="center"/>
    </xf>
    <xf numFmtId="43" fontId="15" fillId="4" borderId="9" xfId="1" applyFont="1" applyFill="1" applyBorder="1" applyAlignment="1">
      <alignment horizontal="center" vertical="center"/>
    </xf>
    <xf numFmtId="43" fontId="15" fillId="2" borderId="9" xfId="1" applyFont="1" applyFill="1" applyBorder="1" applyAlignment="1">
      <alignment horizontal="center" vertical="center"/>
    </xf>
    <xf numFmtId="43" fontId="15" fillId="6" borderId="9" xfId="1" applyFont="1" applyFill="1" applyBorder="1" applyAlignment="1">
      <alignment horizontal="center" vertical="center"/>
    </xf>
    <xf numFmtId="43" fontId="15" fillId="6" borderId="29" xfId="1" applyFont="1" applyFill="1" applyBorder="1" applyAlignment="1">
      <alignment horizontal="center" vertical="center"/>
    </xf>
    <xf numFmtId="43" fontId="15" fillId="6" borderId="30" xfId="1" applyFont="1" applyFill="1" applyBorder="1" applyAlignment="1">
      <alignment horizontal="center" vertical="center"/>
    </xf>
    <xf numFmtId="43" fontId="15" fillId="0" borderId="0" xfId="1" applyFont="1" applyAlignment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43" fontId="0" fillId="3" borderId="9" xfId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43" fontId="6" fillId="9" borderId="7" xfId="1" applyFont="1" applyFill="1" applyBorder="1" applyAlignment="1">
      <alignment horizontal="center" vertical="center" wrapText="1"/>
    </xf>
    <xf numFmtId="43" fontId="6" fillId="9" borderId="11" xfId="1" applyFont="1" applyFill="1" applyBorder="1" applyAlignment="1">
      <alignment horizontal="center" vertical="center" wrapText="1"/>
    </xf>
    <xf numFmtId="43" fontId="0" fillId="4" borderId="9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3" fontId="7" fillId="4" borderId="9" xfId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43" fontId="0" fillId="4" borderId="9" xfId="1" applyFont="1" applyFill="1" applyBorder="1" applyAlignment="1">
      <alignment horizontal="center" vertical="center" wrapText="1"/>
    </xf>
    <xf numFmtId="43" fontId="0" fillId="6" borderId="9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64" fontId="10" fillId="10" borderId="32" xfId="3" applyNumberFormat="1" applyFont="1" applyFill="1" applyBorder="1" applyAlignment="1" applyProtection="1">
      <alignment vertical="center"/>
    </xf>
    <xf numFmtId="164" fontId="10" fillId="8" borderId="32" xfId="3" applyNumberFormat="1" applyFont="1" applyFill="1" applyBorder="1" applyAlignment="1" applyProtection="1">
      <alignment vertical="center"/>
    </xf>
    <xf numFmtId="0" fontId="3" fillId="0" borderId="21" xfId="2" applyFont="1" applyBorder="1" applyAlignment="1">
      <alignment horizontal="center"/>
    </xf>
    <xf numFmtId="164" fontId="3" fillId="10" borderId="25" xfId="3" applyNumberFormat="1" applyFont="1" applyFill="1" applyBorder="1" applyAlignment="1" applyProtection="1">
      <alignment vertical="center"/>
    </xf>
    <xf numFmtId="0" fontId="9" fillId="0" borderId="33" xfId="2" applyFont="1" applyBorder="1" applyAlignment="1">
      <alignment horizontal="center"/>
    </xf>
    <xf numFmtId="0" fontId="3" fillId="0" borderId="34" xfId="2" applyFont="1" applyBorder="1" applyAlignment="1">
      <alignment horizontal="center"/>
    </xf>
    <xf numFmtId="164" fontId="3" fillId="10" borderId="35" xfId="3" applyNumberFormat="1" applyFont="1" applyFill="1" applyBorder="1" applyAlignment="1" applyProtection="1">
      <alignment vertical="center"/>
    </xf>
    <xf numFmtId="164" fontId="3" fillId="11" borderId="35" xfId="3" applyNumberFormat="1" applyFont="1" applyFill="1" applyBorder="1" applyAlignment="1" applyProtection="1">
      <alignment vertical="center"/>
    </xf>
    <xf numFmtId="164" fontId="3" fillId="12" borderId="36" xfId="3" applyNumberFormat="1" applyFont="1" applyFill="1" applyBorder="1" applyAlignment="1" applyProtection="1">
      <alignment vertical="center"/>
    </xf>
    <xf numFmtId="0" fontId="9" fillId="0" borderId="37" xfId="2" applyFont="1" applyBorder="1" applyAlignment="1">
      <alignment horizontal="center"/>
    </xf>
    <xf numFmtId="0" fontId="3" fillId="0" borderId="38" xfId="2" applyFont="1" applyBorder="1" applyAlignment="1">
      <alignment horizontal="center"/>
    </xf>
    <xf numFmtId="164" fontId="3" fillId="10" borderId="39" xfId="3" applyNumberFormat="1" applyFont="1" applyFill="1" applyBorder="1" applyAlignment="1" applyProtection="1">
      <alignment vertical="center"/>
    </xf>
    <xf numFmtId="164" fontId="3" fillId="11" borderId="40" xfId="3" applyNumberFormat="1" applyFont="1" applyFill="1" applyBorder="1" applyAlignment="1" applyProtection="1">
      <alignment vertical="center"/>
    </xf>
    <xf numFmtId="164" fontId="3" fillId="12" borderId="41" xfId="3" applyNumberFormat="1" applyFont="1" applyFill="1" applyBorder="1" applyAlignment="1" applyProtection="1">
      <alignment vertical="center"/>
    </xf>
    <xf numFmtId="164" fontId="3" fillId="8" borderId="25" xfId="3" applyNumberFormat="1" applyFont="1" applyFill="1" applyBorder="1" applyAlignment="1" applyProtection="1">
      <alignment vertical="center"/>
    </xf>
    <xf numFmtId="164" fontId="3" fillId="11" borderId="39" xfId="3" applyNumberFormat="1" applyFont="1" applyFill="1" applyBorder="1" applyAlignment="1" applyProtection="1">
      <alignment vertical="center"/>
    </xf>
    <xf numFmtId="164" fontId="3" fillId="12" borderId="42" xfId="3" applyNumberFormat="1" applyFont="1" applyFill="1" applyBorder="1" applyAlignment="1" applyProtection="1">
      <alignment vertical="center"/>
    </xf>
    <xf numFmtId="0" fontId="9" fillId="7" borderId="44" xfId="2" applyFont="1" applyFill="1" applyBorder="1" applyAlignment="1">
      <alignment horizontal="center"/>
    </xf>
    <xf numFmtId="0" fontId="9" fillId="0" borderId="45" xfId="2" applyFont="1" applyBorder="1" applyAlignment="1">
      <alignment horizontal="center"/>
    </xf>
    <xf numFmtId="164" fontId="3" fillId="7" borderId="46" xfId="3" applyNumberFormat="1" applyFont="1" applyFill="1" applyBorder="1" applyAlignment="1" applyProtection="1">
      <alignment vertical="center"/>
    </xf>
    <xf numFmtId="0" fontId="3" fillId="0" borderId="47" xfId="2" applyBorder="1" applyAlignment="1">
      <alignment horizontal="center"/>
    </xf>
    <xf numFmtId="164" fontId="3" fillId="7" borderId="48" xfId="3" applyNumberFormat="1" applyFont="1" applyFill="1" applyBorder="1" applyAlignment="1" applyProtection="1">
      <alignment vertical="center"/>
    </xf>
    <xf numFmtId="164" fontId="10" fillId="7" borderId="46" xfId="3" applyNumberFormat="1" applyFont="1" applyFill="1" applyBorder="1" applyAlignment="1" applyProtection="1">
      <alignment vertical="center"/>
    </xf>
    <xf numFmtId="164" fontId="10" fillId="7" borderId="51" xfId="3" applyNumberFormat="1" applyFont="1" applyFill="1" applyBorder="1" applyAlignment="1" applyProtection="1">
      <alignment vertical="center"/>
    </xf>
    <xf numFmtId="0" fontId="0" fillId="0" borderId="52" xfId="0" applyBorder="1"/>
    <xf numFmtId="0" fontId="0" fillId="0" borderId="54" xfId="0" applyBorder="1"/>
    <xf numFmtId="0" fontId="0" fillId="0" borderId="9" xfId="0" applyFill="1" applyBorder="1"/>
    <xf numFmtId="0" fontId="15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9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0" fillId="6" borderId="9" xfId="0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6" fillId="0" borderId="0" xfId="2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43" fontId="6" fillId="9" borderId="9" xfId="1" applyFont="1" applyFill="1" applyBorder="1" applyAlignment="1">
      <alignment horizontal="center" vertical="center" wrapText="1"/>
    </xf>
    <xf numFmtId="43" fontId="6" fillId="3" borderId="9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14" fillId="8" borderId="61" xfId="1" applyFont="1" applyFill="1" applyBorder="1" applyAlignment="1">
      <alignment horizontal="center" vertical="center"/>
    </xf>
    <xf numFmtId="43" fontId="14" fillId="8" borderId="62" xfId="1" applyFont="1" applyFill="1" applyBorder="1" applyAlignment="1">
      <alignment horizontal="center" vertical="center"/>
    </xf>
    <xf numFmtId="43" fontId="14" fillId="8" borderId="63" xfId="1" applyFont="1" applyFill="1" applyBorder="1" applyAlignment="1">
      <alignment horizontal="center" vertical="center"/>
    </xf>
    <xf numFmtId="43" fontId="14" fillId="7" borderId="61" xfId="1" applyFont="1" applyFill="1" applyBorder="1" applyAlignment="1">
      <alignment horizontal="center" vertical="center"/>
    </xf>
    <xf numFmtId="43" fontId="14" fillId="7" borderId="62" xfId="1" applyFont="1" applyFill="1" applyBorder="1" applyAlignment="1">
      <alignment horizontal="center" vertical="center"/>
    </xf>
    <xf numFmtId="43" fontId="14" fillId="7" borderId="63" xfId="1" applyFont="1" applyFill="1" applyBorder="1" applyAlignment="1">
      <alignment horizontal="center" vertical="center"/>
    </xf>
    <xf numFmtId="0" fontId="13" fillId="9" borderId="61" xfId="2" applyFont="1" applyFill="1" applyBorder="1" applyAlignment="1">
      <alignment horizontal="center" vertical="center" wrapText="1"/>
    </xf>
    <xf numFmtId="0" fontId="13" fillId="9" borderId="62" xfId="2" applyFont="1" applyFill="1" applyBorder="1" applyAlignment="1">
      <alignment horizontal="center" vertical="center" wrapText="1"/>
    </xf>
    <xf numFmtId="0" fontId="13" fillId="9" borderId="63" xfId="2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43" fontId="5" fillId="9" borderId="61" xfId="1" applyFont="1" applyFill="1" applyBorder="1" applyAlignment="1">
      <alignment horizontal="center" vertical="center" wrapText="1"/>
    </xf>
    <xf numFmtId="43" fontId="5" fillId="9" borderId="62" xfId="1" applyFont="1" applyFill="1" applyBorder="1" applyAlignment="1">
      <alignment horizontal="center" vertical="center" wrapText="1"/>
    </xf>
    <xf numFmtId="43" fontId="5" fillId="9" borderId="63" xfId="1" applyFont="1" applyFill="1" applyBorder="1" applyAlignment="1">
      <alignment horizontal="center" vertical="center" wrapText="1"/>
    </xf>
    <xf numFmtId="43" fontId="6" fillId="8" borderId="61" xfId="1" applyFont="1" applyFill="1" applyBorder="1" applyAlignment="1">
      <alignment horizontal="center" vertical="center"/>
    </xf>
    <xf numFmtId="43" fontId="6" fillId="8" borderId="62" xfId="1" applyFont="1" applyFill="1" applyBorder="1" applyAlignment="1">
      <alignment horizontal="center" vertical="center"/>
    </xf>
    <xf numFmtId="43" fontId="6" fillId="8" borderId="63" xfId="1" applyFont="1" applyFill="1" applyBorder="1" applyAlignment="1">
      <alignment horizontal="center" vertical="center"/>
    </xf>
    <xf numFmtId="43" fontId="6" fillId="7" borderId="61" xfId="1" applyFont="1" applyFill="1" applyBorder="1" applyAlignment="1">
      <alignment horizontal="center" vertical="center"/>
    </xf>
    <xf numFmtId="43" fontId="6" fillId="7" borderId="62" xfId="1" applyFont="1" applyFill="1" applyBorder="1" applyAlignment="1">
      <alignment horizontal="center" vertical="center"/>
    </xf>
    <xf numFmtId="43" fontId="6" fillId="7" borderId="63" xfId="1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43" fontId="5" fillId="9" borderId="18" xfId="1" applyFont="1" applyFill="1" applyBorder="1" applyAlignment="1">
      <alignment horizontal="center" vertical="center" wrapText="1"/>
    </xf>
    <xf numFmtId="43" fontId="5" fillId="9" borderId="19" xfId="1" applyFont="1" applyFill="1" applyBorder="1" applyAlignment="1">
      <alignment horizontal="center" vertical="center" wrapText="1"/>
    </xf>
    <xf numFmtId="43" fontId="5" fillId="9" borderId="20" xfId="1" applyFont="1" applyFill="1" applyBorder="1" applyAlignment="1">
      <alignment horizontal="center" vertical="center" wrapText="1"/>
    </xf>
    <xf numFmtId="43" fontId="6" fillId="8" borderId="18" xfId="1" applyFont="1" applyFill="1" applyBorder="1" applyAlignment="1">
      <alignment horizontal="center" vertical="center"/>
    </xf>
    <xf numFmtId="43" fontId="6" fillId="8" borderId="19" xfId="1" applyFont="1" applyFill="1" applyBorder="1" applyAlignment="1">
      <alignment horizontal="center" vertical="center"/>
    </xf>
    <xf numFmtId="43" fontId="6" fillId="8" borderId="20" xfId="1" applyFont="1" applyFill="1" applyBorder="1" applyAlignment="1">
      <alignment horizontal="center" vertical="center"/>
    </xf>
    <xf numFmtId="43" fontId="6" fillId="7" borderId="18" xfId="1" applyFont="1" applyFill="1" applyBorder="1" applyAlignment="1">
      <alignment horizontal="center" vertical="center"/>
    </xf>
    <xf numFmtId="43" fontId="6" fillId="7" borderId="19" xfId="1" applyFont="1" applyFill="1" applyBorder="1" applyAlignment="1">
      <alignment horizontal="center" vertical="center"/>
    </xf>
    <xf numFmtId="43" fontId="6" fillId="7" borderId="20" xfId="1" applyFont="1" applyFill="1" applyBorder="1" applyAlignment="1">
      <alignment horizontal="center" vertical="center"/>
    </xf>
    <xf numFmtId="43" fontId="1" fillId="0" borderId="29" xfId="0" applyNumberFormat="1" applyFont="1" applyBorder="1" applyAlignment="1">
      <alignment horizontal="center" vertical="center"/>
    </xf>
    <xf numFmtId="43" fontId="1" fillId="0" borderId="56" xfId="0" applyNumberFormat="1" applyFont="1" applyBorder="1" applyAlignment="1">
      <alignment horizontal="center" vertical="center"/>
    </xf>
    <xf numFmtId="9" fontId="1" fillId="0" borderId="57" xfId="4" applyFont="1" applyBorder="1" applyAlignment="1">
      <alignment horizontal="center" vertical="center"/>
    </xf>
    <xf numFmtId="9" fontId="1" fillId="0" borderId="58" xfId="4" applyFont="1" applyBorder="1" applyAlignment="1">
      <alignment horizontal="center" vertical="center"/>
    </xf>
    <xf numFmtId="9" fontId="1" fillId="0" borderId="53" xfId="4" applyFont="1" applyBorder="1" applyAlignment="1">
      <alignment horizontal="center" vertical="center"/>
    </xf>
    <xf numFmtId="9" fontId="1" fillId="0" borderId="55" xfId="4" applyFont="1" applyBorder="1" applyAlignment="1">
      <alignment horizontal="center" vertical="center"/>
    </xf>
    <xf numFmtId="9" fontId="0" fillId="0" borderId="59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26" xfId="2" applyFont="1" applyBorder="1" applyAlignment="1">
      <alignment horizontal="center" wrapText="1"/>
    </xf>
    <xf numFmtId="0" fontId="8" fillId="0" borderId="27" xfId="2" applyFont="1" applyBorder="1" applyAlignment="1">
      <alignment horizontal="center" wrapText="1"/>
    </xf>
    <xf numFmtId="0" fontId="8" fillId="0" borderId="28" xfId="2" applyFont="1" applyBorder="1" applyAlignment="1">
      <alignment horizontal="center" wrapText="1"/>
    </xf>
    <xf numFmtId="0" fontId="9" fillId="0" borderId="43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0" fillId="0" borderId="4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50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43" fontId="6" fillId="5" borderId="0" xfId="1" applyFont="1" applyFill="1" applyBorder="1" applyAlignment="1">
      <alignment horizontal="center" vertical="center" wrapText="1"/>
    </xf>
  </cellXfs>
  <cellStyles count="5">
    <cellStyle name="Dziesiętny" xfId="1" builtinId="3"/>
    <cellStyle name="Excel Built-in Normal" xfId="2"/>
    <cellStyle name="Normalny" xfId="0" builtinId="0"/>
    <cellStyle name="Procentowy" xfId="4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"/>
  <sheetViews>
    <sheetView workbookViewId="0">
      <selection sqref="A1:M1"/>
    </sheetView>
  </sheetViews>
  <sheetFormatPr defaultRowHeight="13.2"/>
  <cols>
    <col min="1" max="1" width="19.88671875" customWidth="1"/>
    <col min="2" max="2" width="25.44140625" bestFit="1" customWidth="1"/>
    <col min="3" max="3" width="64.109375" style="82" customWidth="1"/>
    <col min="4" max="4" width="12.109375" style="83" bestFit="1" customWidth="1"/>
    <col min="5" max="6" width="10.5546875" style="91" bestFit="1" customWidth="1"/>
    <col min="7" max="7" width="14.5546875" style="91" bestFit="1" customWidth="1"/>
    <col min="8" max="8" width="9" style="91" bestFit="1" customWidth="1"/>
    <col min="9" max="9" width="14.6640625" style="91" customWidth="1"/>
    <col min="10" max="10" width="12.6640625" style="91" bestFit="1" customWidth="1"/>
    <col min="11" max="11" width="10.5546875" style="91" bestFit="1" customWidth="1"/>
    <col min="12" max="12" width="15.33203125" style="91" customWidth="1"/>
    <col min="13" max="13" width="14.6640625" style="91" bestFit="1" customWidth="1"/>
    <col min="14" max="14" width="9.6640625" hidden="1" customWidth="1"/>
    <col min="15" max="17" width="0" hidden="1" customWidth="1"/>
    <col min="18" max="18" width="39.33203125" style="137" hidden="1" customWidth="1"/>
    <col min="19" max="19" width="0" hidden="1" customWidth="1"/>
    <col min="20" max="20" width="16.44140625" hidden="1" customWidth="1"/>
    <col min="21" max="21" width="13.5546875" hidden="1" customWidth="1"/>
    <col min="22" max="22" width="22.33203125" hidden="1" customWidth="1"/>
  </cols>
  <sheetData>
    <row r="1" spans="1:22" ht="15.6">
      <c r="A1" s="160" t="s">
        <v>870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1:22" s="2" customFormat="1" ht="46.5" customHeight="1">
      <c r="A2" s="1"/>
      <c r="B2" s="1"/>
      <c r="C2" s="50"/>
      <c r="D2" s="171" t="s">
        <v>113</v>
      </c>
      <c r="E2" s="172"/>
      <c r="F2" s="172"/>
      <c r="G2" s="173"/>
      <c r="H2" s="165" t="s">
        <v>279</v>
      </c>
      <c r="I2" s="166"/>
      <c r="J2" s="167"/>
      <c r="K2" s="168" t="s">
        <v>18</v>
      </c>
      <c r="L2" s="169"/>
      <c r="M2" s="170"/>
      <c r="N2" s="12"/>
      <c r="O2" s="12"/>
      <c r="P2" s="12"/>
      <c r="Q2" s="12"/>
      <c r="R2" s="13"/>
      <c r="S2" s="12"/>
      <c r="T2" s="12"/>
      <c r="U2" s="12"/>
      <c r="V2" s="12"/>
    </row>
    <row r="3" spans="1:22" s="2" customFormat="1" ht="13.5" customHeight="1">
      <c r="A3" s="14" t="s">
        <v>0</v>
      </c>
      <c r="B3" s="14" t="s">
        <v>1</v>
      </c>
      <c r="C3" s="51" t="s">
        <v>2</v>
      </c>
      <c r="D3" s="52" t="s">
        <v>3</v>
      </c>
      <c r="E3" s="53" t="s">
        <v>4</v>
      </c>
      <c r="F3" s="54" t="s">
        <v>5</v>
      </c>
      <c r="G3" s="55" t="s">
        <v>7</v>
      </c>
      <c r="H3" s="56" t="s">
        <v>4</v>
      </c>
      <c r="I3" s="57" t="s">
        <v>5</v>
      </c>
      <c r="J3" s="58" t="s">
        <v>7</v>
      </c>
      <c r="K3" s="59" t="s">
        <v>4</v>
      </c>
      <c r="L3" s="60" t="s">
        <v>5</v>
      </c>
      <c r="M3" s="61" t="s">
        <v>7</v>
      </c>
      <c r="N3" s="12"/>
      <c r="O3" s="12"/>
      <c r="P3" s="12"/>
      <c r="Q3" s="12"/>
      <c r="R3" s="13"/>
      <c r="S3" s="12"/>
      <c r="T3" s="12"/>
      <c r="U3" s="12"/>
      <c r="V3" s="12"/>
    </row>
    <row r="4" spans="1:22" s="2" customFormat="1">
      <c r="A4" s="15"/>
      <c r="B4" s="15"/>
      <c r="C4" s="62"/>
      <c r="D4" s="63"/>
      <c r="E4" s="64"/>
      <c r="F4" s="54" t="s">
        <v>6</v>
      </c>
      <c r="G4" s="55" t="s">
        <v>6</v>
      </c>
      <c r="H4" s="65"/>
      <c r="I4" s="57" t="s">
        <v>6</v>
      </c>
      <c r="J4" s="58" t="s">
        <v>6</v>
      </c>
      <c r="K4" s="66"/>
      <c r="L4" s="60" t="s">
        <v>6</v>
      </c>
      <c r="M4" s="61" t="s">
        <v>6</v>
      </c>
      <c r="N4" s="12"/>
      <c r="O4" s="12"/>
      <c r="P4" s="12"/>
      <c r="Q4" s="12"/>
      <c r="R4" s="13"/>
      <c r="S4" s="12"/>
      <c r="T4" s="12"/>
      <c r="U4" s="12"/>
      <c r="V4" s="12"/>
    </row>
    <row r="5" spans="1:22" s="2" customFormat="1" ht="13.8" thickBot="1">
      <c r="A5" s="16"/>
      <c r="B5" s="16"/>
      <c r="C5" s="67"/>
      <c r="D5" s="68"/>
      <c r="E5" s="69"/>
      <c r="F5" s="70"/>
      <c r="G5" s="71" t="s">
        <v>8</v>
      </c>
      <c r="H5" s="72"/>
      <c r="I5" s="73"/>
      <c r="J5" s="74" t="s">
        <v>280</v>
      </c>
      <c r="K5" s="75"/>
      <c r="L5" s="76"/>
      <c r="M5" s="77" t="s">
        <v>281</v>
      </c>
      <c r="N5" s="12"/>
      <c r="O5" s="12"/>
      <c r="R5" s="11"/>
    </row>
    <row r="6" spans="1:22" s="2" customFormat="1" ht="14.25" customHeight="1">
      <c r="A6" s="150" t="s">
        <v>303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2"/>
      <c r="O6" s="12"/>
      <c r="P6" s="12" t="s">
        <v>0</v>
      </c>
      <c r="Q6" s="12" t="s">
        <v>282</v>
      </c>
      <c r="R6" s="13" t="s">
        <v>2</v>
      </c>
      <c r="S6" s="12" t="s">
        <v>862</v>
      </c>
      <c r="T6" s="12" t="s">
        <v>4</v>
      </c>
      <c r="U6" s="12" t="s">
        <v>283</v>
      </c>
      <c r="V6" s="12" t="s">
        <v>7</v>
      </c>
    </row>
    <row r="7" spans="1:22">
      <c r="A7" s="84">
        <v>1</v>
      </c>
      <c r="B7" s="151" t="s">
        <v>284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3"/>
      <c r="P7" s="12">
        <v>1</v>
      </c>
      <c r="Q7" s="12"/>
      <c r="R7" s="13" t="s">
        <v>284</v>
      </c>
      <c r="S7" s="12"/>
      <c r="T7" s="12"/>
      <c r="U7" s="12"/>
      <c r="V7" s="12"/>
    </row>
    <row r="8" spans="1:22" ht="39.6">
      <c r="A8" s="40" t="s">
        <v>114</v>
      </c>
      <c r="B8" s="40" t="s">
        <v>714</v>
      </c>
      <c r="C8" s="78" t="s">
        <v>115</v>
      </c>
      <c r="D8" s="79" t="s">
        <v>116</v>
      </c>
      <c r="E8" s="86">
        <f>T8</f>
        <v>72</v>
      </c>
      <c r="F8" s="86">
        <f>U8</f>
        <v>32.17</v>
      </c>
      <c r="G8" s="86">
        <f>E8*F8</f>
        <v>2316.2400000000002</v>
      </c>
      <c r="H8" s="85">
        <f>E8-K8</f>
        <v>0</v>
      </c>
      <c r="I8" s="85">
        <f>F8</f>
        <v>32.17</v>
      </c>
      <c r="J8" s="85">
        <f>H8*I8</f>
        <v>0</v>
      </c>
      <c r="K8" s="87">
        <f>E8</f>
        <v>72</v>
      </c>
      <c r="L8" s="87">
        <f>F8</f>
        <v>32.17</v>
      </c>
      <c r="M8" s="87">
        <f>K8*L8</f>
        <v>2316.2400000000002</v>
      </c>
      <c r="N8" s="23">
        <f>E8-H8-K8</f>
        <v>0</v>
      </c>
      <c r="O8" s="23">
        <f>G8-J8-M8</f>
        <v>0</v>
      </c>
      <c r="P8" t="s">
        <v>114</v>
      </c>
      <c r="Q8" t="s">
        <v>714</v>
      </c>
      <c r="R8" s="137" t="s">
        <v>115</v>
      </c>
      <c r="S8" t="s">
        <v>116</v>
      </c>
      <c r="T8">
        <f>1.8*1.8*13+1.5*1.5*12+1.2*1.2*2</f>
        <v>72</v>
      </c>
      <c r="U8">
        <v>32.17</v>
      </c>
      <c r="V8">
        <v>2316.2399999999998</v>
      </c>
    </row>
    <row r="9" spans="1:22" ht="66">
      <c r="A9" s="40" t="s">
        <v>117</v>
      </c>
      <c r="B9" s="40" t="s">
        <v>715</v>
      </c>
      <c r="C9" s="78" t="s">
        <v>118</v>
      </c>
      <c r="D9" s="79" t="s">
        <v>119</v>
      </c>
      <c r="E9" s="86">
        <f t="shared" ref="E9:E17" si="0">T9</f>
        <v>31680</v>
      </c>
      <c r="F9" s="86">
        <f t="shared" ref="F9:F17" si="1">U9</f>
        <v>0.45</v>
      </c>
      <c r="G9" s="86">
        <f t="shared" ref="G9:G17" si="2">E9*F9</f>
        <v>14256</v>
      </c>
      <c r="H9" s="85">
        <f t="shared" ref="H9:H17" si="3">E9-K9</f>
        <v>0</v>
      </c>
      <c r="I9" s="85">
        <f t="shared" ref="I9:I72" si="4">F9</f>
        <v>0.45</v>
      </c>
      <c r="J9" s="85">
        <f t="shared" ref="J9:J72" si="5">H9*I9</f>
        <v>0</v>
      </c>
      <c r="K9" s="87">
        <f t="shared" ref="K9:K17" si="6">E9</f>
        <v>31680</v>
      </c>
      <c r="L9" s="87">
        <f t="shared" ref="L9:L72" si="7">I9</f>
        <v>0.45</v>
      </c>
      <c r="M9" s="87">
        <f t="shared" ref="M9:M17" si="8">K9*L9</f>
        <v>14256</v>
      </c>
      <c r="N9" s="23">
        <f t="shared" ref="N9:N72" si="9">E9-H9-K9</f>
        <v>0</v>
      </c>
      <c r="O9" s="23">
        <f t="shared" ref="O9:O72" si="10">G9-J9-M9</f>
        <v>0</v>
      </c>
      <c r="P9" t="s">
        <v>117</v>
      </c>
      <c r="Q9" t="s">
        <v>715</v>
      </c>
      <c r="R9" s="137" t="s">
        <v>118</v>
      </c>
      <c r="S9" t="s">
        <v>119</v>
      </c>
      <c r="T9">
        <f>(150*4+180*4)*24</f>
        <v>31680</v>
      </c>
      <c r="U9">
        <v>0.45</v>
      </c>
      <c r="V9">
        <v>14256</v>
      </c>
    </row>
    <row r="10" spans="1:22" ht="39.6">
      <c r="A10" s="40" t="s">
        <v>120</v>
      </c>
      <c r="B10" s="40" t="s">
        <v>716</v>
      </c>
      <c r="C10" s="78" t="s">
        <v>121</v>
      </c>
      <c r="D10" s="79" t="s">
        <v>122</v>
      </c>
      <c r="E10" s="86">
        <f t="shared" si="0"/>
        <v>2.2959999999999998</v>
      </c>
      <c r="F10" s="86">
        <f t="shared" si="1"/>
        <v>1378.46</v>
      </c>
      <c r="G10" s="86">
        <f t="shared" si="2"/>
        <v>3164.94416</v>
      </c>
      <c r="H10" s="85">
        <f t="shared" si="3"/>
        <v>0</v>
      </c>
      <c r="I10" s="85">
        <f t="shared" si="4"/>
        <v>1378.46</v>
      </c>
      <c r="J10" s="85">
        <f t="shared" si="5"/>
        <v>0</v>
      </c>
      <c r="K10" s="87">
        <f t="shared" si="6"/>
        <v>2.2959999999999998</v>
      </c>
      <c r="L10" s="87">
        <f t="shared" si="7"/>
        <v>1378.46</v>
      </c>
      <c r="M10" s="87">
        <f t="shared" si="8"/>
        <v>3164.94416</v>
      </c>
      <c r="N10" s="23">
        <f t="shared" si="9"/>
        <v>0</v>
      </c>
      <c r="O10" s="23">
        <f t="shared" si="10"/>
        <v>0</v>
      </c>
      <c r="P10" t="s">
        <v>120</v>
      </c>
      <c r="Q10" t="s">
        <v>716</v>
      </c>
      <c r="R10" s="137" t="s">
        <v>121</v>
      </c>
      <c r="S10" t="s">
        <v>122</v>
      </c>
      <c r="T10">
        <v>2.2959999999999998</v>
      </c>
      <c r="U10">
        <v>1378.46</v>
      </c>
      <c r="V10">
        <v>3164.94</v>
      </c>
    </row>
    <row r="11" spans="1:22" ht="39.6">
      <c r="A11" s="40" t="s">
        <v>123</v>
      </c>
      <c r="B11" s="40" t="s">
        <v>716</v>
      </c>
      <c r="C11" s="78" t="s">
        <v>124</v>
      </c>
      <c r="D11" s="79" t="s">
        <v>15</v>
      </c>
      <c r="E11" s="86">
        <f t="shared" si="0"/>
        <v>98.1</v>
      </c>
      <c r="F11" s="86">
        <f t="shared" si="1"/>
        <v>143.68</v>
      </c>
      <c r="G11" s="86">
        <f t="shared" si="2"/>
        <v>14095.008</v>
      </c>
      <c r="H11" s="85">
        <f t="shared" si="3"/>
        <v>0</v>
      </c>
      <c r="I11" s="85">
        <f t="shared" si="4"/>
        <v>143.68</v>
      </c>
      <c r="J11" s="85">
        <f t="shared" si="5"/>
        <v>0</v>
      </c>
      <c r="K11" s="87">
        <f t="shared" si="6"/>
        <v>98.1</v>
      </c>
      <c r="L11" s="87">
        <f t="shared" si="7"/>
        <v>143.68</v>
      </c>
      <c r="M11" s="87">
        <f t="shared" si="8"/>
        <v>14095.008</v>
      </c>
      <c r="N11" s="23">
        <f t="shared" si="9"/>
        <v>0</v>
      </c>
      <c r="O11" s="23">
        <f t="shared" si="10"/>
        <v>0</v>
      </c>
      <c r="P11" t="s">
        <v>123</v>
      </c>
      <c r="Q11" t="s">
        <v>716</v>
      </c>
      <c r="R11" s="137" t="s">
        <v>124</v>
      </c>
      <c r="S11" t="s">
        <v>15</v>
      </c>
      <c r="T11">
        <v>98.1</v>
      </c>
      <c r="U11">
        <v>143.68</v>
      </c>
      <c r="V11">
        <v>14095.01</v>
      </c>
    </row>
    <row r="12" spans="1:22" ht="52.8">
      <c r="A12" s="40" t="s">
        <v>125</v>
      </c>
      <c r="B12" s="40" t="s">
        <v>717</v>
      </c>
      <c r="C12" s="78" t="s">
        <v>126</v>
      </c>
      <c r="D12" s="79" t="s">
        <v>122</v>
      </c>
      <c r="E12" s="86">
        <f t="shared" si="0"/>
        <v>0.88559999999999994</v>
      </c>
      <c r="F12" s="86">
        <f t="shared" si="1"/>
        <v>236.2</v>
      </c>
      <c r="G12" s="86">
        <f t="shared" si="2"/>
        <v>209.17871999999997</v>
      </c>
      <c r="H12" s="85">
        <f t="shared" si="3"/>
        <v>0</v>
      </c>
      <c r="I12" s="85">
        <f t="shared" si="4"/>
        <v>236.2</v>
      </c>
      <c r="J12" s="85">
        <f t="shared" si="5"/>
        <v>0</v>
      </c>
      <c r="K12" s="87">
        <f t="shared" si="6"/>
        <v>0.88559999999999994</v>
      </c>
      <c r="L12" s="87">
        <f t="shared" si="7"/>
        <v>236.2</v>
      </c>
      <c r="M12" s="87">
        <f t="shared" si="8"/>
        <v>209.17871999999997</v>
      </c>
      <c r="N12" s="23">
        <f t="shared" si="9"/>
        <v>0</v>
      </c>
      <c r="O12" s="23">
        <f t="shared" si="10"/>
        <v>0</v>
      </c>
      <c r="P12" t="s">
        <v>125</v>
      </c>
      <c r="Q12" t="s">
        <v>717</v>
      </c>
      <c r="R12" s="137" t="s">
        <v>126</v>
      </c>
      <c r="S12" t="s">
        <v>122</v>
      </c>
      <c r="T12">
        <f>1.8*2.05*0.24</f>
        <v>0.88559999999999994</v>
      </c>
      <c r="U12">
        <v>236.2</v>
      </c>
      <c r="V12">
        <v>209.27</v>
      </c>
    </row>
    <row r="13" spans="1:22" ht="52.8">
      <c r="A13" s="40" t="s">
        <v>127</v>
      </c>
      <c r="B13" s="40" t="s">
        <v>717</v>
      </c>
      <c r="C13" s="78" t="s">
        <v>128</v>
      </c>
      <c r="D13" s="79" t="s">
        <v>122</v>
      </c>
      <c r="E13" s="86">
        <f t="shared" si="0"/>
        <v>15.962</v>
      </c>
      <c r="F13" s="86">
        <f t="shared" si="1"/>
        <v>236.2</v>
      </c>
      <c r="G13" s="86">
        <f t="shared" si="2"/>
        <v>3770.2243999999996</v>
      </c>
      <c r="H13" s="85">
        <f t="shared" si="3"/>
        <v>0</v>
      </c>
      <c r="I13" s="85">
        <f t="shared" si="4"/>
        <v>236.2</v>
      </c>
      <c r="J13" s="85">
        <f t="shared" si="5"/>
        <v>0</v>
      </c>
      <c r="K13" s="87">
        <f t="shared" si="6"/>
        <v>15.962</v>
      </c>
      <c r="L13" s="87">
        <f t="shared" si="7"/>
        <v>236.2</v>
      </c>
      <c r="M13" s="87">
        <f t="shared" si="8"/>
        <v>3770.2243999999996</v>
      </c>
      <c r="N13" s="23">
        <f t="shared" si="9"/>
        <v>0</v>
      </c>
      <c r="O13" s="23">
        <f t="shared" si="10"/>
        <v>0</v>
      </c>
      <c r="P13" t="s">
        <v>127</v>
      </c>
      <c r="Q13" t="s">
        <v>717</v>
      </c>
      <c r="R13" s="137" t="s">
        <v>128</v>
      </c>
      <c r="S13" t="s">
        <v>122</v>
      </c>
      <c r="T13">
        <v>15.962</v>
      </c>
      <c r="U13">
        <v>236.2</v>
      </c>
      <c r="V13">
        <v>3770.22</v>
      </c>
    </row>
    <row r="14" spans="1:22" ht="52.8">
      <c r="A14" s="40" t="s">
        <v>129</v>
      </c>
      <c r="B14" s="40" t="s">
        <v>718</v>
      </c>
      <c r="C14" s="78" t="s">
        <v>130</v>
      </c>
      <c r="D14" s="79" t="s">
        <v>116</v>
      </c>
      <c r="E14" s="86">
        <f t="shared" si="0"/>
        <v>45.524999999999999</v>
      </c>
      <c r="F14" s="86">
        <f t="shared" si="1"/>
        <v>15.87</v>
      </c>
      <c r="G14" s="86">
        <f t="shared" si="2"/>
        <v>722.48174999999992</v>
      </c>
      <c r="H14" s="85">
        <f t="shared" si="3"/>
        <v>0</v>
      </c>
      <c r="I14" s="85">
        <f t="shared" si="4"/>
        <v>15.87</v>
      </c>
      <c r="J14" s="85">
        <f t="shared" si="5"/>
        <v>0</v>
      </c>
      <c r="K14" s="87">
        <f t="shared" si="6"/>
        <v>45.524999999999999</v>
      </c>
      <c r="L14" s="87">
        <f t="shared" si="7"/>
        <v>15.87</v>
      </c>
      <c r="M14" s="87">
        <f t="shared" si="8"/>
        <v>722.48174999999992</v>
      </c>
      <c r="N14" s="23">
        <f t="shared" si="9"/>
        <v>0</v>
      </c>
      <c r="O14" s="23">
        <f t="shared" si="10"/>
        <v>0</v>
      </c>
      <c r="P14" t="s">
        <v>129</v>
      </c>
      <c r="Q14" t="s">
        <v>718</v>
      </c>
      <c r="R14" s="137" t="s">
        <v>130</v>
      </c>
      <c r="S14" t="s">
        <v>116</v>
      </c>
      <c r="T14">
        <v>45.524999999999999</v>
      </c>
      <c r="U14">
        <v>15.87</v>
      </c>
      <c r="V14">
        <v>722.48</v>
      </c>
    </row>
    <row r="15" spans="1:22" ht="39.6">
      <c r="A15" s="40" t="s">
        <v>131</v>
      </c>
      <c r="B15" s="40" t="s">
        <v>719</v>
      </c>
      <c r="C15" s="78" t="s">
        <v>132</v>
      </c>
      <c r="D15" s="79" t="s">
        <v>122</v>
      </c>
      <c r="E15" s="86">
        <f t="shared" si="0"/>
        <v>34.490349999999992</v>
      </c>
      <c r="F15" s="86">
        <f t="shared" si="1"/>
        <v>93.75</v>
      </c>
      <c r="G15" s="86">
        <f t="shared" si="2"/>
        <v>3233.4703124999992</v>
      </c>
      <c r="H15" s="85">
        <f t="shared" si="3"/>
        <v>0</v>
      </c>
      <c r="I15" s="85">
        <f t="shared" si="4"/>
        <v>93.75</v>
      </c>
      <c r="J15" s="85">
        <f t="shared" si="5"/>
        <v>0</v>
      </c>
      <c r="K15" s="87">
        <f t="shared" si="6"/>
        <v>34.490349999999992</v>
      </c>
      <c r="L15" s="87">
        <f t="shared" si="7"/>
        <v>93.75</v>
      </c>
      <c r="M15" s="87">
        <f t="shared" si="8"/>
        <v>3233.4703124999992</v>
      </c>
      <c r="N15" s="23">
        <f t="shared" si="9"/>
        <v>0</v>
      </c>
      <c r="O15" s="23">
        <f t="shared" si="10"/>
        <v>0</v>
      </c>
      <c r="P15" t="s">
        <v>131</v>
      </c>
      <c r="Q15" t="s">
        <v>719</v>
      </c>
      <c r="R15" s="137" t="s">
        <v>132</v>
      </c>
      <c r="S15" t="s">
        <v>122</v>
      </c>
      <c r="T15">
        <f>72*0.1+(1.5*1.5*12+1.8*1.8*13+1.2*1.2*2+1.8*2.05)*0.24+2.296+45.525*0.15</f>
        <v>34.490349999999992</v>
      </c>
      <c r="U15">
        <v>93.75</v>
      </c>
      <c r="V15">
        <v>3233.44</v>
      </c>
    </row>
    <row r="16" spans="1:22" ht="52.8">
      <c r="A16" s="40" t="s">
        <v>133</v>
      </c>
      <c r="B16" s="40" t="s">
        <v>719</v>
      </c>
      <c r="C16" s="78" t="s">
        <v>134</v>
      </c>
      <c r="D16" s="79" t="s">
        <v>122</v>
      </c>
      <c r="E16" s="86">
        <f t="shared" si="0"/>
        <v>34.49</v>
      </c>
      <c r="F16" s="86">
        <f t="shared" si="1"/>
        <v>4.63</v>
      </c>
      <c r="G16" s="86">
        <f t="shared" si="2"/>
        <v>159.68870000000001</v>
      </c>
      <c r="H16" s="85">
        <f t="shared" si="3"/>
        <v>0</v>
      </c>
      <c r="I16" s="85">
        <f t="shared" si="4"/>
        <v>4.63</v>
      </c>
      <c r="J16" s="85">
        <f t="shared" si="5"/>
        <v>0</v>
      </c>
      <c r="K16" s="87">
        <f t="shared" si="6"/>
        <v>34.49</v>
      </c>
      <c r="L16" s="87">
        <f t="shared" si="7"/>
        <v>4.63</v>
      </c>
      <c r="M16" s="87">
        <f t="shared" si="8"/>
        <v>159.68870000000001</v>
      </c>
      <c r="N16" s="23">
        <f t="shared" si="9"/>
        <v>0</v>
      </c>
      <c r="O16" s="23">
        <f t="shared" si="10"/>
        <v>0</v>
      </c>
      <c r="P16" t="s">
        <v>133</v>
      </c>
      <c r="Q16" t="s">
        <v>719</v>
      </c>
      <c r="R16" s="137" t="s">
        <v>134</v>
      </c>
      <c r="S16" t="s">
        <v>122</v>
      </c>
      <c r="T16">
        <v>34.49</v>
      </c>
      <c r="U16">
        <v>4.63</v>
      </c>
      <c r="V16">
        <v>159.69</v>
      </c>
    </row>
    <row r="17" spans="1:22" ht="39.6">
      <c r="A17" s="40" t="s">
        <v>135</v>
      </c>
      <c r="B17" s="40" t="s">
        <v>720</v>
      </c>
      <c r="C17" s="78" t="s">
        <v>136</v>
      </c>
      <c r="D17" s="79" t="s">
        <v>116</v>
      </c>
      <c r="E17" s="86">
        <f t="shared" si="0"/>
        <v>959.66</v>
      </c>
      <c r="F17" s="86">
        <f t="shared" si="1"/>
        <v>5.69</v>
      </c>
      <c r="G17" s="86">
        <f t="shared" si="2"/>
        <v>5460.4654</v>
      </c>
      <c r="H17" s="85">
        <f t="shared" si="3"/>
        <v>0</v>
      </c>
      <c r="I17" s="85">
        <f t="shared" si="4"/>
        <v>5.69</v>
      </c>
      <c r="J17" s="85">
        <f t="shared" si="5"/>
        <v>0</v>
      </c>
      <c r="K17" s="87">
        <f t="shared" si="6"/>
        <v>959.66</v>
      </c>
      <c r="L17" s="87">
        <f t="shared" si="7"/>
        <v>5.69</v>
      </c>
      <c r="M17" s="87">
        <f t="shared" si="8"/>
        <v>5460.4654</v>
      </c>
      <c r="N17" s="23">
        <f t="shared" si="9"/>
        <v>0</v>
      </c>
      <c r="O17" s="23">
        <f t="shared" si="10"/>
        <v>0</v>
      </c>
      <c r="P17" t="s">
        <v>135</v>
      </c>
      <c r="Q17" t="s">
        <v>720</v>
      </c>
      <c r="R17" s="137" t="s">
        <v>136</v>
      </c>
      <c r="S17" t="s">
        <v>116</v>
      </c>
      <c r="T17">
        <v>959.66</v>
      </c>
      <c r="U17">
        <v>5.69</v>
      </c>
      <c r="V17">
        <v>5460.47</v>
      </c>
    </row>
    <row r="18" spans="1:22">
      <c r="A18" s="41" t="s">
        <v>285</v>
      </c>
      <c r="B18" s="41"/>
      <c r="C18" s="80" t="s">
        <v>285</v>
      </c>
      <c r="D18" s="81"/>
      <c r="E18" s="88"/>
      <c r="F18" s="88"/>
      <c r="G18" s="89">
        <f>SUM(G8:G17)</f>
        <v>47387.701442500002</v>
      </c>
      <c r="H18" s="90"/>
      <c r="I18" s="88">
        <f t="shared" si="4"/>
        <v>0</v>
      </c>
      <c r="J18" s="89">
        <f>SUM(J8:J17)</f>
        <v>0</v>
      </c>
      <c r="K18" s="90"/>
      <c r="L18" s="88">
        <f t="shared" si="7"/>
        <v>0</v>
      </c>
      <c r="M18" s="89">
        <f>SUM(M8:M17)</f>
        <v>47387.701442500002</v>
      </c>
      <c r="N18" s="23">
        <f t="shared" si="9"/>
        <v>0</v>
      </c>
      <c r="O18" s="23">
        <f t="shared" si="10"/>
        <v>0</v>
      </c>
      <c r="P18" t="s">
        <v>285</v>
      </c>
      <c r="R18" s="137" t="s">
        <v>285</v>
      </c>
      <c r="V18">
        <v>47387.76</v>
      </c>
    </row>
    <row r="19" spans="1:22">
      <c r="A19" s="41">
        <v>2</v>
      </c>
      <c r="B19" s="154" t="s">
        <v>286</v>
      </c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6"/>
      <c r="N19" s="23">
        <f t="shared" si="9"/>
        <v>0</v>
      </c>
      <c r="O19" s="23">
        <f t="shared" si="10"/>
        <v>0</v>
      </c>
      <c r="P19">
        <v>2</v>
      </c>
      <c r="R19" s="137" t="s">
        <v>286</v>
      </c>
    </row>
    <row r="20" spans="1:22" ht="31.95" customHeight="1">
      <c r="A20" s="40" t="s">
        <v>137</v>
      </c>
      <c r="B20" s="40" t="s">
        <v>721</v>
      </c>
      <c r="C20" s="78" t="s">
        <v>138</v>
      </c>
      <c r="D20" s="79" t="s">
        <v>116</v>
      </c>
      <c r="E20" s="86">
        <f t="shared" ref="E20" si="11">T20</f>
        <v>416.96</v>
      </c>
      <c r="F20" s="86">
        <f t="shared" ref="F20" si="12">U20</f>
        <v>212.7</v>
      </c>
      <c r="G20" s="86">
        <f t="shared" ref="G20:G28" si="13">E20*F20</f>
        <v>88687.391999999993</v>
      </c>
      <c r="H20" s="85">
        <f>E20-K20</f>
        <v>0</v>
      </c>
      <c r="I20" s="85">
        <f t="shared" si="4"/>
        <v>212.7</v>
      </c>
      <c r="J20" s="85">
        <f t="shared" si="5"/>
        <v>0</v>
      </c>
      <c r="K20" s="87">
        <f t="shared" ref="K20:K28" si="14">E20</f>
        <v>416.96</v>
      </c>
      <c r="L20" s="87">
        <f t="shared" si="7"/>
        <v>212.7</v>
      </c>
      <c r="M20" s="87">
        <f t="shared" ref="M20:M72" si="15">K20*L20</f>
        <v>88687.391999999993</v>
      </c>
      <c r="N20" s="23">
        <f t="shared" si="9"/>
        <v>0</v>
      </c>
      <c r="O20" s="23">
        <f t="shared" si="10"/>
        <v>0</v>
      </c>
      <c r="P20" t="s">
        <v>137</v>
      </c>
      <c r="Q20" t="s">
        <v>721</v>
      </c>
      <c r="R20" s="137" t="s">
        <v>138</v>
      </c>
      <c r="S20" t="s">
        <v>116</v>
      </c>
      <c r="T20">
        <v>416.96</v>
      </c>
      <c r="U20">
        <v>212.7</v>
      </c>
      <c r="V20">
        <v>88687.39</v>
      </c>
    </row>
    <row r="21" spans="1:22" ht="24.6" customHeight="1">
      <c r="A21" s="40" t="s">
        <v>139</v>
      </c>
      <c r="B21" s="40" t="s">
        <v>721</v>
      </c>
      <c r="C21" s="78" t="s">
        <v>140</v>
      </c>
      <c r="D21" s="79" t="s">
        <v>116</v>
      </c>
      <c r="E21" s="86">
        <f t="shared" ref="E21:E34" si="16">T21</f>
        <v>249.51</v>
      </c>
      <c r="F21" s="86">
        <f t="shared" ref="F21:F34" si="17">U21</f>
        <v>202.28</v>
      </c>
      <c r="G21" s="86">
        <f t="shared" si="13"/>
        <v>50470.882799999999</v>
      </c>
      <c r="H21" s="85">
        <f t="shared" ref="H21:H28" si="18">E21-K21</f>
        <v>0</v>
      </c>
      <c r="I21" s="85">
        <f t="shared" si="4"/>
        <v>202.28</v>
      </c>
      <c r="J21" s="85">
        <f t="shared" si="5"/>
        <v>0</v>
      </c>
      <c r="K21" s="87">
        <f t="shared" si="14"/>
        <v>249.51</v>
      </c>
      <c r="L21" s="87">
        <f t="shared" si="7"/>
        <v>202.28</v>
      </c>
      <c r="M21" s="87">
        <f t="shared" si="15"/>
        <v>50470.882799999999</v>
      </c>
      <c r="N21" s="23">
        <f t="shared" si="9"/>
        <v>0</v>
      </c>
      <c r="O21" s="23">
        <f t="shared" si="10"/>
        <v>0</v>
      </c>
      <c r="P21" t="s">
        <v>139</v>
      </c>
      <c r="Q21" t="s">
        <v>721</v>
      </c>
      <c r="R21" s="137" t="s">
        <v>140</v>
      </c>
      <c r="S21" t="s">
        <v>116</v>
      </c>
      <c r="T21">
        <v>249.51</v>
      </c>
      <c r="U21">
        <v>202.28</v>
      </c>
      <c r="V21">
        <v>50470.879999999997</v>
      </c>
    </row>
    <row r="22" spans="1:22" ht="66">
      <c r="A22" s="40" t="s">
        <v>141</v>
      </c>
      <c r="B22" s="40" t="s">
        <v>721</v>
      </c>
      <c r="C22" s="78" t="s">
        <v>722</v>
      </c>
      <c r="D22" s="79" t="s">
        <v>116</v>
      </c>
      <c r="E22" s="86">
        <f t="shared" si="16"/>
        <v>373.04</v>
      </c>
      <c r="F22" s="86">
        <f t="shared" si="17"/>
        <v>181.89</v>
      </c>
      <c r="G22" s="86">
        <f t="shared" si="13"/>
        <v>67852.245599999995</v>
      </c>
      <c r="H22" s="85">
        <f t="shared" si="18"/>
        <v>0</v>
      </c>
      <c r="I22" s="85">
        <f t="shared" si="4"/>
        <v>181.89</v>
      </c>
      <c r="J22" s="85">
        <f t="shared" si="5"/>
        <v>0</v>
      </c>
      <c r="K22" s="87">
        <f t="shared" si="14"/>
        <v>373.04</v>
      </c>
      <c r="L22" s="87">
        <f t="shared" si="7"/>
        <v>181.89</v>
      </c>
      <c r="M22" s="87">
        <f t="shared" si="15"/>
        <v>67852.245599999995</v>
      </c>
      <c r="N22" s="23">
        <f t="shared" si="9"/>
        <v>0</v>
      </c>
      <c r="O22" s="23">
        <f t="shared" si="10"/>
        <v>0</v>
      </c>
      <c r="P22" t="s">
        <v>141</v>
      </c>
      <c r="Q22" t="s">
        <v>721</v>
      </c>
      <c r="R22" s="137" t="s">
        <v>722</v>
      </c>
      <c r="S22" t="s">
        <v>116</v>
      </c>
      <c r="T22">
        <v>373.04</v>
      </c>
      <c r="U22">
        <v>181.89</v>
      </c>
      <c r="V22">
        <v>67852.25</v>
      </c>
    </row>
    <row r="23" spans="1:22" ht="52.8">
      <c r="A23" s="40" t="s">
        <v>142</v>
      </c>
      <c r="B23" s="40" t="s">
        <v>721</v>
      </c>
      <c r="C23" s="78" t="s">
        <v>143</v>
      </c>
      <c r="D23" s="79" t="s">
        <v>116</v>
      </c>
      <c r="E23" s="86">
        <f t="shared" si="16"/>
        <v>154.06</v>
      </c>
      <c r="F23" s="86">
        <f t="shared" si="17"/>
        <v>186.97</v>
      </c>
      <c r="G23" s="86">
        <f t="shared" si="13"/>
        <v>28804.5982</v>
      </c>
      <c r="H23" s="85">
        <f t="shared" si="18"/>
        <v>0</v>
      </c>
      <c r="I23" s="85">
        <f t="shared" si="4"/>
        <v>186.97</v>
      </c>
      <c r="J23" s="85">
        <f t="shared" si="5"/>
        <v>0</v>
      </c>
      <c r="K23" s="87">
        <f t="shared" si="14"/>
        <v>154.06</v>
      </c>
      <c r="L23" s="87">
        <f t="shared" si="7"/>
        <v>186.97</v>
      </c>
      <c r="M23" s="87">
        <f t="shared" si="15"/>
        <v>28804.5982</v>
      </c>
      <c r="N23" s="23">
        <f t="shared" si="9"/>
        <v>0</v>
      </c>
      <c r="O23" s="23">
        <f t="shared" si="10"/>
        <v>0</v>
      </c>
      <c r="P23" t="s">
        <v>142</v>
      </c>
      <c r="Q23" t="s">
        <v>721</v>
      </c>
      <c r="R23" s="137" t="s">
        <v>143</v>
      </c>
      <c r="S23" t="s">
        <v>116</v>
      </c>
      <c r="T23">
        <v>154.06</v>
      </c>
      <c r="U23">
        <v>186.97</v>
      </c>
      <c r="V23">
        <v>28804.6</v>
      </c>
    </row>
    <row r="24" spans="1:22" ht="66">
      <c r="A24" s="40" t="s">
        <v>144</v>
      </c>
      <c r="B24" s="40" t="s">
        <v>721</v>
      </c>
      <c r="C24" s="78" t="s">
        <v>145</v>
      </c>
      <c r="D24" s="79" t="s">
        <v>116</v>
      </c>
      <c r="E24" s="86">
        <f t="shared" si="16"/>
        <v>216.95</v>
      </c>
      <c r="F24" s="86">
        <f t="shared" si="17"/>
        <v>112.52</v>
      </c>
      <c r="G24" s="86">
        <f t="shared" si="13"/>
        <v>24411.213999999996</v>
      </c>
      <c r="H24" s="85">
        <f t="shared" si="18"/>
        <v>0</v>
      </c>
      <c r="I24" s="85">
        <f t="shared" si="4"/>
        <v>112.52</v>
      </c>
      <c r="J24" s="85">
        <f t="shared" si="5"/>
        <v>0</v>
      </c>
      <c r="K24" s="87">
        <f t="shared" si="14"/>
        <v>216.95</v>
      </c>
      <c r="L24" s="87">
        <f t="shared" si="7"/>
        <v>112.52</v>
      </c>
      <c r="M24" s="87">
        <f t="shared" si="15"/>
        <v>24411.213999999996</v>
      </c>
      <c r="N24" s="23">
        <f t="shared" si="9"/>
        <v>0</v>
      </c>
      <c r="O24" s="23">
        <f t="shared" si="10"/>
        <v>0</v>
      </c>
      <c r="P24" t="s">
        <v>144</v>
      </c>
      <c r="Q24" t="s">
        <v>721</v>
      </c>
      <c r="R24" s="137" t="s">
        <v>145</v>
      </c>
      <c r="S24" t="s">
        <v>116</v>
      </c>
      <c r="T24">
        <v>216.95</v>
      </c>
      <c r="U24">
        <v>112.52</v>
      </c>
      <c r="V24">
        <v>24411.21</v>
      </c>
    </row>
    <row r="25" spans="1:22" ht="79.2">
      <c r="A25" s="40" t="s">
        <v>146</v>
      </c>
      <c r="B25" s="40" t="s">
        <v>721</v>
      </c>
      <c r="C25" s="78" t="s">
        <v>151</v>
      </c>
      <c r="D25" s="79" t="s">
        <v>116</v>
      </c>
      <c r="E25" s="86">
        <f t="shared" si="16"/>
        <v>358.17</v>
      </c>
      <c r="F25" s="86">
        <f t="shared" si="17"/>
        <v>221.73</v>
      </c>
      <c r="G25" s="86">
        <f t="shared" si="13"/>
        <v>79417.034100000004</v>
      </c>
      <c r="H25" s="85">
        <f t="shared" si="18"/>
        <v>0</v>
      </c>
      <c r="I25" s="85">
        <f t="shared" si="4"/>
        <v>221.73</v>
      </c>
      <c r="J25" s="85">
        <f t="shared" si="5"/>
        <v>0</v>
      </c>
      <c r="K25" s="87">
        <f t="shared" si="14"/>
        <v>358.17</v>
      </c>
      <c r="L25" s="87">
        <f t="shared" si="7"/>
        <v>221.73</v>
      </c>
      <c r="M25" s="87">
        <f t="shared" si="15"/>
        <v>79417.034100000004</v>
      </c>
      <c r="N25" s="23">
        <f t="shared" si="9"/>
        <v>0</v>
      </c>
      <c r="O25" s="23">
        <f t="shared" si="10"/>
        <v>0</v>
      </c>
      <c r="P25" t="s">
        <v>146</v>
      </c>
      <c r="Q25" t="s">
        <v>721</v>
      </c>
      <c r="R25" s="137" t="s">
        <v>151</v>
      </c>
      <c r="S25" t="s">
        <v>116</v>
      </c>
      <c r="T25">
        <v>358.17</v>
      </c>
      <c r="U25">
        <v>221.73</v>
      </c>
      <c r="V25">
        <v>79417.03</v>
      </c>
    </row>
    <row r="26" spans="1:22" ht="52.8">
      <c r="A26" s="40" t="s">
        <v>148</v>
      </c>
      <c r="B26" s="40" t="s">
        <v>721</v>
      </c>
      <c r="C26" s="78" t="s">
        <v>153</v>
      </c>
      <c r="D26" s="79" t="s">
        <v>116</v>
      </c>
      <c r="E26" s="86">
        <f t="shared" si="16"/>
        <v>63.02</v>
      </c>
      <c r="F26" s="86">
        <f t="shared" si="17"/>
        <v>106.85</v>
      </c>
      <c r="G26" s="86">
        <f t="shared" si="13"/>
        <v>6733.6869999999999</v>
      </c>
      <c r="H26" s="85">
        <f t="shared" si="18"/>
        <v>0</v>
      </c>
      <c r="I26" s="85">
        <f t="shared" si="4"/>
        <v>106.85</v>
      </c>
      <c r="J26" s="85">
        <f t="shared" si="5"/>
        <v>0</v>
      </c>
      <c r="K26" s="87">
        <f t="shared" si="14"/>
        <v>63.02</v>
      </c>
      <c r="L26" s="87">
        <f t="shared" si="7"/>
        <v>106.85</v>
      </c>
      <c r="M26" s="87">
        <f t="shared" si="15"/>
        <v>6733.6869999999999</v>
      </c>
      <c r="N26" s="23">
        <f t="shared" si="9"/>
        <v>0</v>
      </c>
      <c r="O26" s="23">
        <f t="shared" si="10"/>
        <v>0</v>
      </c>
      <c r="P26" t="s">
        <v>148</v>
      </c>
      <c r="Q26" t="s">
        <v>721</v>
      </c>
      <c r="R26" s="137" t="s">
        <v>153</v>
      </c>
      <c r="S26" t="s">
        <v>116</v>
      </c>
      <c r="T26">
        <v>63.02</v>
      </c>
      <c r="U26">
        <v>106.85</v>
      </c>
      <c r="V26">
        <v>6733.69</v>
      </c>
    </row>
    <row r="27" spans="1:22" ht="66">
      <c r="A27" s="40" t="s">
        <v>150</v>
      </c>
      <c r="B27" s="40" t="s">
        <v>721</v>
      </c>
      <c r="C27" s="78" t="s">
        <v>155</v>
      </c>
      <c r="D27" s="79" t="s">
        <v>116</v>
      </c>
      <c r="E27" s="86">
        <f t="shared" si="16"/>
        <v>152.26</v>
      </c>
      <c r="F27" s="86">
        <f t="shared" si="17"/>
        <v>186.9</v>
      </c>
      <c r="G27" s="86">
        <f t="shared" si="13"/>
        <v>28457.394</v>
      </c>
      <c r="H27" s="85">
        <f t="shared" si="18"/>
        <v>0</v>
      </c>
      <c r="I27" s="85">
        <f t="shared" si="4"/>
        <v>186.9</v>
      </c>
      <c r="J27" s="85">
        <f t="shared" si="5"/>
        <v>0</v>
      </c>
      <c r="K27" s="87">
        <f t="shared" si="14"/>
        <v>152.26</v>
      </c>
      <c r="L27" s="87">
        <f t="shared" si="7"/>
        <v>186.9</v>
      </c>
      <c r="M27" s="87">
        <f t="shared" si="15"/>
        <v>28457.394</v>
      </c>
      <c r="N27" s="23">
        <f t="shared" si="9"/>
        <v>0</v>
      </c>
      <c r="O27" s="23">
        <f t="shared" si="10"/>
        <v>0</v>
      </c>
      <c r="P27" t="s">
        <v>150</v>
      </c>
      <c r="Q27" t="s">
        <v>721</v>
      </c>
      <c r="R27" s="137" t="s">
        <v>155</v>
      </c>
      <c r="S27" t="s">
        <v>116</v>
      </c>
      <c r="T27">
        <v>152.26</v>
      </c>
      <c r="U27">
        <v>186.9</v>
      </c>
      <c r="V27">
        <v>28457.39</v>
      </c>
    </row>
    <row r="28" spans="1:22" ht="66">
      <c r="A28" s="40" t="s">
        <v>152</v>
      </c>
      <c r="B28" s="40" t="s">
        <v>721</v>
      </c>
      <c r="C28" s="78" t="s">
        <v>157</v>
      </c>
      <c r="D28" s="79" t="s">
        <v>116</v>
      </c>
      <c r="E28" s="86">
        <f t="shared" si="16"/>
        <v>86.61</v>
      </c>
      <c r="F28" s="86">
        <f t="shared" si="17"/>
        <v>164.91</v>
      </c>
      <c r="G28" s="86">
        <f t="shared" si="13"/>
        <v>14282.855099999999</v>
      </c>
      <c r="H28" s="85">
        <f t="shared" si="18"/>
        <v>0</v>
      </c>
      <c r="I28" s="85">
        <f t="shared" si="4"/>
        <v>164.91</v>
      </c>
      <c r="J28" s="85">
        <f t="shared" si="5"/>
        <v>0</v>
      </c>
      <c r="K28" s="87">
        <f t="shared" si="14"/>
        <v>86.61</v>
      </c>
      <c r="L28" s="87">
        <f t="shared" si="7"/>
        <v>164.91</v>
      </c>
      <c r="M28" s="87">
        <f t="shared" si="15"/>
        <v>14282.855099999999</v>
      </c>
      <c r="N28" s="23">
        <f t="shared" si="9"/>
        <v>0</v>
      </c>
      <c r="O28" s="23">
        <f t="shared" si="10"/>
        <v>0</v>
      </c>
      <c r="P28" t="s">
        <v>152</v>
      </c>
      <c r="Q28" t="s">
        <v>721</v>
      </c>
      <c r="R28" s="137" t="s">
        <v>157</v>
      </c>
      <c r="S28" t="s">
        <v>116</v>
      </c>
      <c r="T28">
        <v>86.61</v>
      </c>
      <c r="U28">
        <v>164.91</v>
      </c>
      <c r="V28">
        <v>14282.86</v>
      </c>
    </row>
    <row r="29" spans="1:22" ht="26.4">
      <c r="A29" s="40" t="s">
        <v>154</v>
      </c>
      <c r="B29" s="40" t="s">
        <v>723</v>
      </c>
      <c r="C29" s="78" t="s">
        <v>147</v>
      </c>
      <c r="D29" s="79" t="s">
        <v>116</v>
      </c>
      <c r="E29" s="86">
        <f t="shared" si="16"/>
        <v>24.59</v>
      </c>
      <c r="F29" s="86">
        <f t="shared" si="17"/>
        <v>126.18</v>
      </c>
      <c r="G29" s="86">
        <f t="shared" ref="G29:G34" si="19">E29*F29</f>
        <v>3102.7662</v>
      </c>
      <c r="H29" s="85">
        <f t="shared" ref="H29:H34" si="20">E29-K29</f>
        <v>0</v>
      </c>
      <c r="I29" s="85">
        <f t="shared" ref="I29:I34" si="21">F29</f>
        <v>126.18</v>
      </c>
      <c r="J29" s="85">
        <f t="shared" ref="J29:J34" si="22">H29*I29</f>
        <v>0</v>
      </c>
      <c r="K29" s="87">
        <f t="shared" ref="K29:K34" si="23">E29</f>
        <v>24.59</v>
      </c>
      <c r="L29" s="87">
        <f t="shared" ref="L29:L34" si="24">I29</f>
        <v>126.18</v>
      </c>
      <c r="M29" s="87">
        <f t="shared" ref="M29:M34" si="25">K29*L29</f>
        <v>3102.7662</v>
      </c>
      <c r="N29" s="23">
        <f t="shared" si="9"/>
        <v>0</v>
      </c>
      <c r="O29" s="23">
        <f t="shared" si="10"/>
        <v>0</v>
      </c>
      <c r="P29" t="s">
        <v>154</v>
      </c>
      <c r="Q29" t="s">
        <v>723</v>
      </c>
      <c r="R29" s="137" t="s">
        <v>147</v>
      </c>
      <c r="S29" t="s">
        <v>116</v>
      </c>
      <c r="T29">
        <v>24.59</v>
      </c>
      <c r="U29">
        <v>126.18</v>
      </c>
      <c r="V29">
        <v>3102.77</v>
      </c>
    </row>
    <row r="30" spans="1:22">
      <c r="A30" s="40" t="s">
        <v>156</v>
      </c>
      <c r="B30" s="40" t="s">
        <v>199</v>
      </c>
      <c r="C30" s="78" t="s">
        <v>149</v>
      </c>
      <c r="D30" s="79" t="s">
        <v>116</v>
      </c>
      <c r="E30" s="86">
        <f t="shared" si="16"/>
        <v>4.7300000000000004</v>
      </c>
      <c r="F30" s="86">
        <f t="shared" si="17"/>
        <v>421.31</v>
      </c>
      <c r="G30" s="86">
        <f t="shared" si="19"/>
        <v>1992.7963000000002</v>
      </c>
      <c r="H30" s="85">
        <f t="shared" si="20"/>
        <v>0</v>
      </c>
      <c r="I30" s="85">
        <f t="shared" si="21"/>
        <v>421.31</v>
      </c>
      <c r="J30" s="85">
        <f t="shared" si="22"/>
        <v>0</v>
      </c>
      <c r="K30" s="87">
        <f t="shared" si="23"/>
        <v>4.7300000000000004</v>
      </c>
      <c r="L30" s="87">
        <f t="shared" si="24"/>
        <v>421.31</v>
      </c>
      <c r="M30" s="87">
        <f t="shared" si="25"/>
        <v>1992.7963000000002</v>
      </c>
      <c r="N30" s="23">
        <f t="shared" si="9"/>
        <v>0</v>
      </c>
      <c r="O30" s="23">
        <f t="shared" si="10"/>
        <v>0</v>
      </c>
      <c r="P30" t="s">
        <v>156</v>
      </c>
      <c r="Q30" t="s">
        <v>199</v>
      </c>
      <c r="R30" s="137" t="s">
        <v>149</v>
      </c>
      <c r="S30" t="s">
        <v>116</v>
      </c>
      <c r="T30">
        <f>(1.265+0.55*2)*2</f>
        <v>4.7300000000000004</v>
      </c>
      <c r="U30">
        <v>421.31</v>
      </c>
      <c r="V30">
        <v>1992.8</v>
      </c>
    </row>
    <row r="31" spans="1:22" ht="79.2">
      <c r="A31" s="40" t="s">
        <v>158</v>
      </c>
      <c r="B31" s="40" t="s">
        <v>724</v>
      </c>
      <c r="C31" s="78" t="s">
        <v>159</v>
      </c>
      <c r="D31" s="79" t="s">
        <v>116</v>
      </c>
      <c r="E31" s="86">
        <f t="shared" si="16"/>
        <v>19.71</v>
      </c>
      <c r="F31" s="86">
        <f t="shared" si="17"/>
        <v>224.46</v>
      </c>
      <c r="G31" s="86">
        <f t="shared" si="19"/>
        <v>4424.1066000000001</v>
      </c>
      <c r="H31" s="85">
        <f t="shared" si="20"/>
        <v>0</v>
      </c>
      <c r="I31" s="85">
        <f t="shared" si="21"/>
        <v>224.46</v>
      </c>
      <c r="J31" s="85">
        <f t="shared" si="22"/>
        <v>0</v>
      </c>
      <c r="K31" s="87">
        <f t="shared" si="23"/>
        <v>19.71</v>
      </c>
      <c r="L31" s="87">
        <f t="shared" si="24"/>
        <v>224.46</v>
      </c>
      <c r="M31" s="87">
        <f t="shared" si="25"/>
        <v>4424.1066000000001</v>
      </c>
      <c r="N31" s="23">
        <f t="shared" si="9"/>
        <v>0</v>
      </c>
      <c r="O31" s="23">
        <f t="shared" si="10"/>
        <v>0</v>
      </c>
      <c r="P31" t="s">
        <v>158</v>
      </c>
      <c r="Q31" t="s">
        <v>724</v>
      </c>
      <c r="R31" s="137" t="s">
        <v>159</v>
      </c>
      <c r="S31" t="s">
        <v>116</v>
      </c>
      <c r="T31">
        <f>(1.8*3*13+1.5*3*12+1.2*3*2)*0.15</f>
        <v>19.71</v>
      </c>
      <c r="U31">
        <v>224.46</v>
      </c>
      <c r="V31">
        <v>4424.1099999999997</v>
      </c>
    </row>
    <row r="32" spans="1:22" ht="79.2">
      <c r="A32" s="40" t="s">
        <v>160</v>
      </c>
      <c r="B32" s="40" t="s">
        <v>725</v>
      </c>
      <c r="C32" s="78" t="s">
        <v>161</v>
      </c>
      <c r="D32" s="79" t="s">
        <v>15</v>
      </c>
      <c r="E32" s="86">
        <f t="shared" si="16"/>
        <v>131.4</v>
      </c>
      <c r="F32" s="86">
        <f t="shared" si="17"/>
        <v>11.05</v>
      </c>
      <c r="G32" s="86">
        <f t="shared" si="19"/>
        <v>1451.9700000000003</v>
      </c>
      <c r="H32" s="85">
        <f t="shared" si="20"/>
        <v>0</v>
      </c>
      <c r="I32" s="85">
        <f t="shared" si="21"/>
        <v>11.05</v>
      </c>
      <c r="J32" s="85">
        <f t="shared" si="22"/>
        <v>0</v>
      </c>
      <c r="K32" s="87">
        <f t="shared" si="23"/>
        <v>131.4</v>
      </c>
      <c r="L32" s="87">
        <f t="shared" si="24"/>
        <v>11.05</v>
      </c>
      <c r="M32" s="87">
        <f t="shared" si="25"/>
        <v>1451.9700000000003</v>
      </c>
      <c r="N32" s="23">
        <f t="shared" si="9"/>
        <v>0</v>
      </c>
      <c r="O32" s="23">
        <f t="shared" si="10"/>
        <v>0</v>
      </c>
      <c r="P32" t="s">
        <v>160</v>
      </c>
      <c r="Q32" t="s">
        <v>725</v>
      </c>
      <c r="R32" s="137" t="s">
        <v>161</v>
      </c>
      <c r="S32" t="s">
        <v>15</v>
      </c>
      <c r="T32">
        <f>1.8*3*13+1.5*3*12+1.2*3*2</f>
        <v>131.4</v>
      </c>
      <c r="U32">
        <v>11.05</v>
      </c>
      <c r="V32">
        <v>1451.97</v>
      </c>
    </row>
    <row r="33" spans="1:22" ht="39.6">
      <c r="A33" s="40" t="s">
        <v>162</v>
      </c>
      <c r="B33" s="40" t="s">
        <v>726</v>
      </c>
      <c r="C33" s="78" t="s">
        <v>163</v>
      </c>
      <c r="D33" s="79" t="s">
        <v>10</v>
      </c>
      <c r="E33" s="86">
        <f t="shared" si="16"/>
        <v>27</v>
      </c>
      <c r="F33" s="86">
        <f t="shared" si="17"/>
        <v>127.21</v>
      </c>
      <c r="G33" s="86">
        <f t="shared" si="19"/>
        <v>3434.6699999999996</v>
      </c>
      <c r="H33" s="85">
        <f t="shared" si="20"/>
        <v>0</v>
      </c>
      <c r="I33" s="85">
        <f t="shared" si="21"/>
        <v>127.21</v>
      </c>
      <c r="J33" s="85">
        <f t="shared" si="22"/>
        <v>0</v>
      </c>
      <c r="K33" s="87">
        <f t="shared" si="23"/>
        <v>27</v>
      </c>
      <c r="L33" s="87">
        <f t="shared" si="24"/>
        <v>127.21</v>
      </c>
      <c r="M33" s="87">
        <f t="shared" si="25"/>
        <v>3434.6699999999996</v>
      </c>
      <c r="N33" s="23">
        <f t="shared" si="9"/>
        <v>0</v>
      </c>
      <c r="O33" s="23">
        <f t="shared" si="10"/>
        <v>0</v>
      </c>
      <c r="P33" t="s">
        <v>162</v>
      </c>
      <c r="Q33" t="s">
        <v>726</v>
      </c>
      <c r="R33" s="137" t="s">
        <v>163</v>
      </c>
      <c r="S33" t="s">
        <v>10</v>
      </c>
      <c r="T33">
        <f>13+12+2</f>
        <v>27</v>
      </c>
      <c r="U33">
        <v>127.21</v>
      </c>
      <c r="V33">
        <v>3434.67</v>
      </c>
    </row>
    <row r="34" spans="1:22" ht="26.4">
      <c r="A34" s="40" t="s">
        <v>164</v>
      </c>
      <c r="B34" s="40" t="s">
        <v>727</v>
      </c>
      <c r="C34" s="78" t="s">
        <v>165</v>
      </c>
      <c r="D34" s="79" t="s">
        <v>15</v>
      </c>
      <c r="E34" s="86">
        <f t="shared" si="16"/>
        <v>201.78</v>
      </c>
      <c r="F34" s="86">
        <f t="shared" si="17"/>
        <v>10.9</v>
      </c>
      <c r="G34" s="86">
        <f t="shared" si="19"/>
        <v>2199.402</v>
      </c>
      <c r="H34" s="85">
        <f t="shared" si="20"/>
        <v>0</v>
      </c>
      <c r="I34" s="85">
        <f t="shared" si="21"/>
        <v>10.9</v>
      </c>
      <c r="J34" s="85">
        <f t="shared" si="22"/>
        <v>0</v>
      </c>
      <c r="K34" s="87">
        <f t="shared" si="23"/>
        <v>201.78</v>
      </c>
      <c r="L34" s="87">
        <f t="shared" si="24"/>
        <v>10.9</v>
      </c>
      <c r="M34" s="87">
        <f t="shared" si="25"/>
        <v>2199.402</v>
      </c>
      <c r="N34" s="23">
        <f t="shared" si="9"/>
        <v>0</v>
      </c>
      <c r="O34" s="23">
        <f t="shared" si="10"/>
        <v>0</v>
      </c>
      <c r="P34" t="s">
        <v>164</v>
      </c>
      <c r="Q34" t="s">
        <v>727</v>
      </c>
      <c r="R34" s="137" t="s">
        <v>165</v>
      </c>
      <c r="S34" t="s">
        <v>15</v>
      </c>
      <c r="T34">
        <v>201.78</v>
      </c>
      <c r="U34">
        <v>10.9</v>
      </c>
      <c r="V34">
        <v>2199.4</v>
      </c>
    </row>
    <row r="35" spans="1:22" ht="26.4">
      <c r="A35" s="147" t="s">
        <v>287</v>
      </c>
      <c r="B35" s="148"/>
      <c r="C35" s="149"/>
      <c r="D35" s="81"/>
      <c r="E35" s="88"/>
      <c r="F35" s="88"/>
      <c r="G35" s="88">
        <f>SUM(G20:G34)</f>
        <v>405723.01389999996</v>
      </c>
      <c r="H35" s="88"/>
      <c r="I35" s="88">
        <f t="shared" si="4"/>
        <v>0</v>
      </c>
      <c r="J35" s="88">
        <f>SUM(J20:J34)</f>
        <v>0</v>
      </c>
      <c r="K35" s="88"/>
      <c r="L35" s="88">
        <f t="shared" si="7"/>
        <v>0</v>
      </c>
      <c r="M35" s="88">
        <f>SUM(M20:M34)</f>
        <v>405723.01389999996</v>
      </c>
      <c r="N35" s="23">
        <f t="shared" si="9"/>
        <v>0</v>
      </c>
      <c r="O35" s="23">
        <f t="shared" si="10"/>
        <v>0</v>
      </c>
      <c r="P35" t="s">
        <v>287</v>
      </c>
      <c r="R35" s="137" t="s">
        <v>287</v>
      </c>
      <c r="V35">
        <v>405723.02</v>
      </c>
    </row>
    <row r="36" spans="1:22">
      <c r="A36" s="29">
        <v>3</v>
      </c>
      <c r="B36" s="157" t="s">
        <v>288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9"/>
      <c r="N36" s="23">
        <f t="shared" si="9"/>
        <v>0</v>
      </c>
      <c r="O36" s="23">
        <f t="shared" si="10"/>
        <v>0</v>
      </c>
      <c r="P36">
        <v>3</v>
      </c>
      <c r="R36" s="137" t="s">
        <v>288</v>
      </c>
    </row>
    <row r="37" spans="1:22" ht="39.6">
      <c r="A37" s="40" t="s">
        <v>166</v>
      </c>
      <c r="B37" s="40" t="s">
        <v>728</v>
      </c>
      <c r="C37" s="78" t="s">
        <v>289</v>
      </c>
      <c r="D37" s="79" t="s">
        <v>116</v>
      </c>
      <c r="E37" s="86">
        <f t="shared" ref="E37" si="26">T37</f>
        <v>147.80000000000001</v>
      </c>
      <c r="F37" s="86">
        <f t="shared" ref="F37" si="27">U37</f>
        <v>173.4</v>
      </c>
      <c r="G37" s="86">
        <f t="shared" ref="G37:G38" si="28">E37*F37</f>
        <v>25628.520000000004</v>
      </c>
      <c r="H37" s="85">
        <f>E37</f>
        <v>147.80000000000001</v>
      </c>
      <c r="I37" s="85">
        <f>F37-L37</f>
        <v>64.158000000000001</v>
      </c>
      <c r="J37" s="85">
        <f t="shared" si="5"/>
        <v>9482.5524000000005</v>
      </c>
      <c r="K37" s="87">
        <f>E37</f>
        <v>147.80000000000001</v>
      </c>
      <c r="L37" s="87">
        <f>F37*0.63</f>
        <v>109.242</v>
      </c>
      <c r="M37" s="87">
        <f t="shared" si="15"/>
        <v>16145.967600000002</v>
      </c>
      <c r="N37" s="23">
        <f t="shared" si="9"/>
        <v>-147.80000000000001</v>
      </c>
      <c r="O37" s="23">
        <f t="shared" si="10"/>
        <v>0</v>
      </c>
      <c r="P37" t="s">
        <v>166</v>
      </c>
      <c r="Q37" t="s">
        <v>728</v>
      </c>
      <c r="R37" s="137" t="s">
        <v>289</v>
      </c>
      <c r="S37" t="s">
        <v>116</v>
      </c>
      <c r="T37">
        <v>147.80000000000001</v>
      </c>
      <c r="U37">
        <v>173.4</v>
      </c>
      <c r="V37">
        <v>25628.52</v>
      </c>
    </row>
    <row r="38" spans="1:22" ht="39.6">
      <c r="A38" s="40" t="s">
        <v>167</v>
      </c>
      <c r="B38" s="40" t="s">
        <v>728</v>
      </c>
      <c r="C38" s="78" t="s">
        <v>290</v>
      </c>
      <c r="D38" s="79" t="s">
        <v>116</v>
      </c>
      <c r="E38" s="86">
        <f t="shared" ref="E38" si="29">T38</f>
        <v>676.87519999999995</v>
      </c>
      <c r="F38" s="86">
        <f t="shared" ref="F38" si="30">U38</f>
        <v>170.26</v>
      </c>
      <c r="G38" s="86">
        <f t="shared" si="28"/>
        <v>115244.77155199999</v>
      </c>
      <c r="H38" s="85">
        <f>E38</f>
        <v>676.87519999999995</v>
      </c>
      <c r="I38" s="85">
        <f>F38-L38</f>
        <v>61.017999999999986</v>
      </c>
      <c r="J38" s="85">
        <f t="shared" si="5"/>
        <v>41301.570953599985</v>
      </c>
      <c r="K38" s="87">
        <f>E38</f>
        <v>676.87519999999995</v>
      </c>
      <c r="L38" s="87">
        <f>L37</f>
        <v>109.242</v>
      </c>
      <c r="M38" s="87">
        <f t="shared" si="15"/>
        <v>73943.200598399999</v>
      </c>
      <c r="N38" s="23">
        <f t="shared" si="9"/>
        <v>-676.87519999999995</v>
      </c>
      <c r="O38" s="23">
        <f t="shared" si="10"/>
        <v>0</v>
      </c>
      <c r="P38" t="s">
        <v>167</v>
      </c>
      <c r="Q38" t="s">
        <v>728</v>
      </c>
      <c r="R38" s="137" t="s">
        <v>290</v>
      </c>
      <c r="S38" t="s">
        <v>116</v>
      </c>
      <c r="T38">
        <f>670.3-(2.96+4+4)*0.13+8</f>
        <v>676.87519999999995</v>
      </c>
      <c r="U38">
        <v>170.26</v>
      </c>
      <c r="V38">
        <v>113882.66</v>
      </c>
    </row>
    <row r="39" spans="1:22">
      <c r="A39" s="147" t="s">
        <v>291</v>
      </c>
      <c r="B39" s="148"/>
      <c r="C39" s="149"/>
      <c r="D39" s="81"/>
      <c r="E39" s="88"/>
      <c r="F39" s="88"/>
      <c r="G39" s="88">
        <f>G37+G38</f>
        <v>140873.29155199998</v>
      </c>
      <c r="H39" s="88"/>
      <c r="I39" s="88"/>
      <c r="J39" s="88">
        <f>J37+J38</f>
        <v>50784.123353599985</v>
      </c>
      <c r="K39" s="88"/>
      <c r="L39" s="88"/>
      <c r="M39" s="88">
        <f>M37+M38</f>
        <v>90089.168198400002</v>
      </c>
      <c r="N39" s="23">
        <f t="shared" si="9"/>
        <v>0</v>
      </c>
      <c r="O39" s="23">
        <f t="shared" si="10"/>
        <v>0</v>
      </c>
      <c r="P39" t="s">
        <v>291</v>
      </c>
      <c r="R39" s="137" t="s">
        <v>291</v>
      </c>
      <c r="V39">
        <v>139511.18</v>
      </c>
    </row>
    <row r="40" spans="1:22">
      <c r="A40" s="29">
        <v>4</v>
      </c>
      <c r="B40" s="141" t="s">
        <v>292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3"/>
      <c r="N40" s="23">
        <f t="shared" si="9"/>
        <v>0</v>
      </c>
      <c r="O40" s="23">
        <f t="shared" si="10"/>
        <v>0</v>
      </c>
      <c r="P40">
        <v>4</v>
      </c>
      <c r="R40" s="137" t="s">
        <v>292</v>
      </c>
    </row>
    <row r="41" spans="1:22">
      <c r="A41" s="135" t="s">
        <v>168</v>
      </c>
      <c r="B41" s="135" t="s">
        <v>729</v>
      </c>
      <c r="C41" s="136" t="s">
        <v>730</v>
      </c>
      <c r="D41" s="79" t="s">
        <v>116</v>
      </c>
      <c r="E41" s="86">
        <f t="shared" ref="E41:E65" si="31">T41</f>
        <v>27.375</v>
      </c>
      <c r="F41" s="86">
        <f t="shared" ref="F41:F65" si="32">U41</f>
        <v>17.239999999999998</v>
      </c>
      <c r="G41" s="86">
        <f t="shared" ref="G41:G65" si="33">E41*F41</f>
        <v>471.94499999999994</v>
      </c>
      <c r="H41" s="85">
        <f t="shared" ref="H41:H63" si="34">E41-K41</f>
        <v>0</v>
      </c>
      <c r="I41" s="85">
        <f t="shared" si="4"/>
        <v>17.239999999999998</v>
      </c>
      <c r="J41" s="85">
        <f t="shared" si="5"/>
        <v>0</v>
      </c>
      <c r="K41" s="87">
        <f>E41</f>
        <v>27.375</v>
      </c>
      <c r="L41" s="87">
        <f t="shared" si="7"/>
        <v>17.239999999999998</v>
      </c>
      <c r="M41" s="87">
        <f t="shared" si="15"/>
        <v>471.94499999999994</v>
      </c>
      <c r="N41" s="23">
        <f t="shared" si="9"/>
        <v>0</v>
      </c>
      <c r="O41" s="23">
        <f t="shared" si="10"/>
        <v>0</v>
      </c>
      <c r="P41" t="s">
        <v>168</v>
      </c>
      <c r="Q41" t="s">
        <v>729</v>
      </c>
      <c r="R41" s="137" t="s">
        <v>730</v>
      </c>
      <c r="S41" t="s">
        <v>116</v>
      </c>
      <c r="T41">
        <f>4*2.5*2+2.95*2.5</f>
        <v>27.375</v>
      </c>
      <c r="U41">
        <v>17.239999999999998</v>
      </c>
      <c r="V41">
        <v>471.95</v>
      </c>
    </row>
    <row r="42" spans="1:22" ht="39.6">
      <c r="A42" s="135" t="s">
        <v>170</v>
      </c>
      <c r="B42" s="135" t="s">
        <v>731</v>
      </c>
      <c r="C42" s="136" t="s">
        <v>169</v>
      </c>
      <c r="D42" s="79" t="s">
        <v>116</v>
      </c>
      <c r="E42" s="86">
        <f t="shared" si="31"/>
        <v>2.88</v>
      </c>
      <c r="F42" s="86">
        <f t="shared" si="32"/>
        <v>543.47</v>
      </c>
      <c r="G42" s="86">
        <f t="shared" si="33"/>
        <v>1565.1936000000001</v>
      </c>
      <c r="H42" s="85">
        <f t="shared" si="34"/>
        <v>0</v>
      </c>
      <c r="I42" s="85">
        <f t="shared" si="4"/>
        <v>543.47</v>
      </c>
      <c r="J42" s="85">
        <f t="shared" si="5"/>
        <v>0</v>
      </c>
      <c r="K42" s="87">
        <f>E42</f>
        <v>2.88</v>
      </c>
      <c r="L42" s="87">
        <f t="shared" si="7"/>
        <v>543.47</v>
      </c>
      <c r="M42" s="87">
        <f t="shared" si="15"/>
        <v>1565.1936000000001</v>
      </c>
      <c r="N42" s="23">
        <f t="shared" si="9"/>
        <v>0</v>
      </c>
      <c r="O42" s="23">
        <f t="shared" si="10"/>
        <v>0</v>
      </c>
      <c r="P42" t="s">
        <v>170</v>
      </c>
      <c r="Q42" t="s">
        <v>731</v>
      </c>
      <c r="R42" s="137" t="s">
        <v>169</v>
      </c>
      <c r="S42" t="s">
        <v>116</v>
      </c>
      <c r="T42">
        <f>1.2*1.2*2</f>
        <v>2.88</v>
      </c>
      <c r="U42">
        <v>543.47</v>
      </c>
      <c r="V42">
        <v>1565.19</v>
      </c>
    </row>
    <row r="43" spans="1:22" ht="52.8">
      <c r="A43" s="135" t="s">
        <v>172</v>
      </c>
      <c r="B43" s="135" t="s">
        <v>731</v>
      </c>
      <c r="C43" s="136" t="s">
        <v>171</v>
      </c>
      <c r="D43" s="79" t="s">
        <v>116</v>
      </c>
      <c r="E43" s="86">
        <f t="shared" si="31"/>
        <v>27</v>
      </c>
      <c r="F43" s="86">
        <f t="shared" si="32"/>
        <v>528.5</v>
      </c>
      <c r="G43" s="86">
        <f t="shared" si="33"/>
        <v>14269.5</v>
      </c>
      <c r="H43" s="85">
        <f t="shared" si="34"/>
        <v>0</v>
      </c>
      <c r="I43" s="85">
        <f t="shared" si="4"/>
        <v>528.5</v>
      </c>
      <c r="J43" s="85">
        <f t="shared" si="5"/>
        <v>0</v>
      </c>
      <c r="K43" s="87">
        <f t="shared" ref="K43:K61" si="35">E43</f>
        <v>27</v>
      </c>
      <c r="L43" s="87">
        <f t="shared" si="7"/>
        <v>528.5</v>
      </c>
      <c r="M43" s="87">
        <f t="shared" si="15"/>
        <v>14269.5</v>
      </c>
      <c r="N43" s="23">
        <f t="shared" si="9"/>
        <v>0</v>
      </c>
      <c r="O43" s="23">
        <f t="shared" si="10"/>
        <v>0</v>
      </c>
      <c r="P43" t="s">
        <v>172</v>
      </c>
      <c r="Q43" t="s">
        <v>731</v>
      </c>
      <c r="R43" s="137" t="s">
        <v>171</v>
      </c>
      <c r="S43" t="s">
        <v>116</v>
      </c>
      <c r="T43">
        <f>1.5*1.5*12</f>
        <v>27</v>
      </c>
      <c r="U43">
        <v>528.5</v>
      </c>
      <c r="V43">
        <v>14269.5</v>
      </c>
    </row>
    <row r="44" spans="1:22" ht="39.6">
      <c r="A44" s="135" t="s">
        <v>174</v>
      </c>
      <c r="B44" s="135" t="s">
        <v>731</v>
      </c>
      <c r="C44" s="136" t="s">
        <v>173</v>
      </c>
      <c r="D44" s="79" t="s">
        <v>116</v>
      </c>
      <c r="E44" s="86">
        <f t="shared" si="31"/>
        <v>1.5750000000000002</v>
      </c>
      <c r="F44" s="86">
        <f t="shared" si="32"/>
        <v>6189.65</v>
      </c>
      <c r="G44" s="86">
        <f t="shared" si="33"/>
        <v>9748.6987500000014</v>
      </c>
      <c r="H44" s="85">
        <f t="shared" si="34"/>
        <v>0</v>
      </c>
      <c r="I44" s="85">
        <f t="shared" si="4"/>
        <v>6189.65</v>
      </c>
      <c r="J44" s="85">
        <f t="shared" si="5"/>
        <v>0</v>
      </c>
      <c r="K44" s="87">
        <f t="shared" si="35"/>
        <v>1.5750000000000002</v>
      </c>
      <c r="L44" s="87">
        <f t="shared" si="7"/>
        <v>6189.65</v>
      </c>
      <c r="M44" s="87">
        <f t="shared" si="15"/>
        <v>9748.6987500000014</v>
      </c>
      <c r="N44" s="23">
        <f t="shared" si="9"/>
        <v>0</v>
      </c>
      <c r="O44" s="23">
        <f t="shared" si="10"/>
        <v>0</v>
      </c>
      <c r="P44" t="s">
        <v>174</v>
      </c>
      <c r="Q44" t="s">
        <v>731</v>
      </c>
      <c r="R44" s="137" t="s">
        <v>173</v>
      </c>
      <c r="S44" t="s">
        <v>116</v>
      </c>
      <c r="T44">
        <f>0.75*2.1</f>
        <v>1.5750000000000002</v>
      </c>
      <c r="U44">
        <v>6189.65</v>
      </c>
      <c r="V44">
        <v>9748.7000000000007</v>
      </c>
    </row>
    <row r="45" spans="1:22" ht="52.8">
      <c r="A45" s="135" t="s">
        <v>176</v>
      </c>
      <c r="B45" s="135" t="s">
        <v>732</v>
      </c>
      <c r="C45" s="136" t="s">
        <v>175</v>
      </c>
      <c r="D45" s="79" t="s">
        <v>116</v>
      </c>
      <c r="E45" s="86">
        <f t="shared" si="31"/>
        <v>42.120000000000005</v>
      </c>
      <c r="F45" s="86">
        <f t="shared" si="32"/>
        <v>523.48</v>
      </c>
      <c r="G45" s="86">
        <f t="shared" si="33"/>
        <v>22048.977600000002</v>
      </c>
      <c r="H45" s="85">
        <f t="shared" si="34"/>
        <v>0</v>
      </c>
      <c r="I45" s="85">
        <f t="shared" si="4"/>
        <v>523.48</v>
      </c>
      <c r="J45" s="85">
        <f t="shared" si="5"/>
        <v>0</v>
      </c>
      <c r="K45" s="87">
        <f t="shared" si="35"/>
        <v>42.120000000000005</v>
      </c>
      <c r="L45" s="87">
        <f t="shared" si="7"/>
        <v>523.48</v>
      </c>
      <c r="M45" s="87">
        <f t="shared" si="15"/>
        <v>22048.977600000002</v>
      </c>
      <c r="N45" s="23">
        <f t="shared" si="9"/>
        <v>0</v>
      </c>
      <c r="O45" s="23">
        <f t="shared" si="10"/>
        <v>0</v>
      </c>
      <c r="P45" t="s">
        <v>176</v>
      </c>
      <c r="Q45" t="s">
        <v>732</v>
      </c>
      <c r="R45" s="137" t="s">
        <v>175</v>
      </c>
      <c r="S45" t="s">
        <v>116</v>
      </c>
      <c r="T45">
        <f>1.8*1.8*13</f>
        <v>42.120000000000005</v>
      </c>
      <c r="U45">
        <v>523.48</v>
      </c>
      <c r="V45">
        <v>22048.98</v>
      </c>
    </row>
    <row r="46" spans="1:22" ht="26.4">
      <c r="A46" s="135" t="s">
        <v>177</v>
      </c>
      <c r="B46" s="135" t="s">
        <v>733</v>
      </c>
      <c r="C46" s="136" t="s">
        <v>734</v>
      </c>
      <c r="D46" s="79" t="s">
        <v>116</v>
      </c>
      <c r="E46" s="86">
        <f t="shared" si="31"/>
        <v>90.15</v>
      </c>
      <c r="F46" s="86">
        <f t="shared" si="32"/>
        <v>176.33</v>
      </c>
      <c r="G46" s="86">
        <f t="shared" si="33"/>
        <v>15896.149500000001</v>
      </c>
      <c r="H46" s="85">
        <f t="shared" si="34"/>
        <v>0</v>
      </c>
      <c r="I46" s="85">
        <f t="shared" si="4"/>
        <v>176.33</v>
      </c>
      <c r="J46" s="85">
        <f t="shared" si="5"/>
        <v>0</v>
      </c>
      <c r="K46" s="87">
        <f t="shared" si="35"/>
        <v>90.15</v>
      </c>
      <c r="L46" s="87">
        <f t="shared" si="7"/>
        <v>176.33</v>
      </c>
      <c r="M46" s="87">
        <f t="shared" si="15"/>
        <v>15896.149500000001</v>
      </c>
      <c r="N46" s="23">
        <f t="shared" si="9"/>
        <v>0</v>
      </c>
      <c r="O46" s="23">
        <f t="shared" si="10"/>
        <v>0</v>
      </c>
      <c r="P46" t="s">
        <v>177</v>
      </c>
      <c r="Q46" t="s">
        <v>733</v>
      </c>
      <c r="R46" s="137" t="s">
        <v>734</v>
      </c>
      <c r="S46" t="s">
        <v>116</v>
      </c>
      <c r="T46">
        <f>2.88+27+42.12+18.15</f>
        <v>90.15</v>
      </c>
      <c r="U46">
        <v>176.33</v>
      </c>
      <c r="V46">
        <v>15896.15</v>
      </c>
    </row>
    <row r="47" spans="1:22" ht="26.4">
      <c r="A47" s="135" t="s">
        <v>180</v>
      </c>
      <c r="B47" s="135" t="s">
        <v>178</v>
      </c>
      <c r="C47" s="136" t="s">
        <v>179</v>
      </c>
      <c r="D47" s="79" t="s">
        <v>116</v>
      </c>
      <c r="E47" s="86">
        <f t="shared" si="31"/>
        <v>90.15</v>
      </c>
      <c r="F47" s="86">
        <f t="shared" si="32"/>
        <v>59.78</v>
      </c>
      <c r="G47" s="86">
        <f t="shared" si="33"/>
        <v>5389.1670000000004</v>
      </c>
      <c r="H47" s="85">
        <f t="shared" si="34"/>
        <v>0</v>
      </c>
      <c r="I47" s="85">
        <f t="shared" si="4"/>
        <v>59.78</v>
      </c>
      <c r="J47" s="85">
        <f t="shared" si="5"/>
        <v>0</v>
      </c>
      <c r="K47" s="87">
        <f t="shared" si="35"/>
        <v>90.15</v>
      </c>
      <c r="L47" s="87">
        <f t="shared" si="7"/>
        <v>59.78</v>
      </c>
      <c r="M47" s="87">
        <f t="shared" si="15"/>
        <v>5389.1670000000004</v>
      </c>
      <c r="N47" s="23">
        <f t="shared" si="9"/>
        <v>0</v>
      </c>
      <c r="O47" s="23">
        <f t="shared" si="10"/>
        <v>0</v>
      </c>
      <c r="P47" t="s">
        <v>180</v>
      </c>
      <c r="Q47" t="s">
        <v>178</v>
      </c>
      <c r="R47" s="137" t="s">
        <v>179</v>
      </c>
      <c r="S47" t="s">
        <v>116</v>
      </c>
      <c r="T47">
        <f>2.88+27+42.12+18.15</f>
        <v>90.15</v>
      </c>
      <c r="U47">
        <v>59.78</v>
      </c>
      <c r="V47">
        <v>5389.17</v>
      </c>
    </row>
    <row r="48" spans="1:22" ht="39.6">
      <c r="A48" s="135" t="s">
        <v>181</v>
      </c>
      <c r="B48" s="135" t="s">
        <v>732</v>
      </c>
      <c r="C48" s="136" t="s">
        <v>735</v>
      </c>
      <c r="D48" s="79" t="s">
        <v>116</v>
      </c>
      <c r="E48" s="86">
        <f t="shared" si="31"/>
        <v>45.524999999999999</v>
      </c>
      <c r="F48" s="86">
        <f t="shared" si="32"/>
        <v>1364.35</v>
      </c>
      <c r="G48" s="86">
        <f t="shared" si="33"/>
        <v>62112.033749999995</v>
      </c>
      <c r="H48" s="85">
        <f t="shared" si="34"/>
        <v>0</v>
      </c>
      <c r="I48" s="85">
        <f t="shared" si="4"/>
        <v>1364.35</v>
      </c>
      <c r="J48" s="85">
        <f t="shared" si="5"/>
        <v>0</v>
      </c>
      <c r="K48" s="87">
        <f t="shared" si="35"/>
        <v>45.524999999999999</v>
      </c>
      <c r="L48" s="87">
        <f t="shared" si="7"/>
        <v>1364.35</v>
      </c>
      <c r="M48" s="87">
        <f t="shared" si="15"/>
        <v>62112.033749999995</v>
      </c>
      <c r="N48" s="23">
        <f t="shared" si="9"/>
        <v>0</v>
      </c>
      <c r="O48" s="23">
        <f t="shared" si="10"/>
        <v>0</v>
      </c>
      <c r="P48" t="s">
        <v>181</v>
      </c>
      <c r="Q48" t="s">
        <v>732</v>
      </c>
      <c r="R48" s="137" t="s">
        <v>863</v>
      </c>
      <c r="S48" t="s">
        <v>116</v>
      </c>
      <c r="T48">
        <f>2.25*1.65*2+3.25*1.65*2+4*2.5*2+2.95*2.5</f>
        <v>45.524999999999999</v>
      </c>
      <c r="U48">
        <v>1364.35</v>
      </c>
      <c r="V48">
        <v>62112.03</v>
      </c>
    </row>
    <row r="49" spans="1:22">
      <c r="A49" s="135" t="s">
        <v>182</v>
      </c>
      <c r="B49" s="135" t="s">
        <v>736</v>
      </c>
      <c r="C49" s="136" t="s">
        <v>183</v>
      </c>
      <c r="D49" s="79" t="s">
        <v>15</v>
      </c>
      <c r="E49" s="86">
        <f t="shared" si="31"/>
        <v>45.150000000000006</v>
      </c>
      <c r="F49" s="86">
        <f t="shared" si="32"/>
        <v>100.85</v>
      </c>
      <c r="G49" s="86">
        <f t="shared" si="33"/>
        <v>4553.3775000000005</v>
      </c>
      <c r="H49" s="85">
        <f t="shared" si="34"/>
        <v>0</v>
      </c>
      <c r="I49" s="85">
        <f t="shared" si="4"/>
        <v>100.85</v>
      </c>
      <c r="J49" s="85">
        <f t="shared" si="5"/>
        <v>0</v>
      </c>
      <c r="K49" s="87">
        <f t="shared" si="35"/>
        <v>45.150000000000006</v>
      </c>
      <c r="L49" s="87">
        <f t="shared" si="7"/>
        <v>100.85</v>
      </c>
      <c r="M49" s="87">
        <f t="shared" si="15"/>
        <v>4553.3775000000005</v>
      </c>
      <c r="N49" s="23">
        <f t="shared" si="9"/>
        <v>0</v>
      </c>
      <c r="O49" s="23">
        <f t="shared" si="10"/>
        <v>0</v>
      </c>
      <c r="P49" t="s">
        <v>182</v>
      </c>
      <c r="Q49" t="s">
        <v>736</v>
      </c>
      <c r="R49" s="137" t="s">
        <v>183</v>
      </c>
      <c r="S49" t="s">
        <v>15</v>
      </c>
      <c r="T49">
        <f>1.85*13+1.55*12+1.25*2</f>
        <v>45.150000000000006</v>
      </c>
      <c r="U49">
        <v>100.85</v>
      </c>
      <c r="V49">
        <v>4553.38</v>
      </c>
    </row>
    <row r="50" spans="1:22">
      <c r="A50" s="135" t="s">
        <v>184</v>
      </c>
      <c r="B50" s="135" t="s">
        <v>199</v>
      </c>
      <c r="C50" s="136" t="s">
        <v>185</v>
      </c>
      <c r="D50" s="79" t="s">
        <v>116</v>
      </c>
      <c r="E50" s="86">
        <f t="shared" si="31"/>
        <v>2.5920000000000005</v>
      </c>
      <c r="F50" s="86">
        <f t="shared" si="32"/>
        <v>1893.15</v>
      </c>
      <c r="G50" s="86">
        <f t="shared" si="33"/>
        <v>4907.0448000000015</v>
      </c>
      <c r="H50" s="85">
        <f t="shared" si="34"/>
        <v>0</v>
      </c>
      <c r="I50" s="85">
        <f t="shared" si="4"/>
        <v>1893.15</v>
      </c>
      <c r="J50" s="85">
        <f t="shared" si="5"/>
        <v>0</v>
      </c>
      <c r="K50" s="87">
        <f t="shared" si="35"/>
        <v>2.5920000000000005</v>
      </c>
      <c r="L50" s="87">
        <f t="shared" si="7"/>
        <v>1893.15</v>
      </c>
      <c r="M50" s="87">
        <f t="shared" si="15"/>
        <v>4907.0448000000015</v>
      </c>
      <c r="N50" s="23">
        <f t="shared" si="9"/>
        <v>0</v>
      </c>
      <c r="O50" s="23">
        <f t="shared" si="10"/>
        <v>0</v>
      </c>
      <c r="P50" t="s">
        <v>184</v>
      </c>
      <c r="Q50" t="s">
        <v>199</v>
      </c>
      <c r="R50" s="137" t="s">
        <v>185</v>
      </c>
      <c r="S50" t="s">
        <v>116</v>
      </c>
      <c r="T50">
        <f>3.24*0.8</f>
        <v>2.5920000000000005</v>
      </c>
      <c r="U50">
        <v>1893.15</v>
      </c>
      <c r="V50">
        <v>4907.04</v>
      </c>
    </row>
    <row r="51" spans="1:22" ht="26.4">
      <c r="A51" s="138" t="str">
        <f>P51</f>
        <v>4.11</v>
      </c>
      <c r="B51" s="138" t="str">
        <f t="shared" ref="B51:D51" si="36">Q51</f>
        <v>KNR 0-19 0928-12</v>
      </c>
      <c r="C51" s="138" t="str">
        <f t="shared" si="36"/>
        <v>Demontaż i montaż okna do patio nierozwieralne aluminium EI60 - patio 08,09</v>
      </c>
      <c r="D51" s="139" t="str">
        <f t="shared" si="36"/>
        <v>m2</v>
      </c>
      <c r="E51" s="86">
        <f t="shared" si="31"/>
        <v>25.575000000000003</v>
      </c>
      <c r="F51" s="86">
        <f t="shared" si="32"/>
        <v>1963.01</v>
      </c>
      <c r="G51" s="86">
        <f t="shared" si="33"/>
        <v>50203.980750000002</v>
      </c>
      <c r="H51" s="85">
        <f t="shared" ref="H51" si="37">E51-K51</f>
        <v>0</v>
      </c>
      <c r="I51" s="85">
        <f t="shared" ref="I51" si="38">F51</f>
        <v>1963.01</v>
      </c>
      <c r="J51" s="85">
        <f t="shared" ref="J51" si="39">H51*I51</f>
        <v>0</v>
      </c>
      <c r="K51" s="87">
        <f t="shared" ref="K51" si="40">E51</f>
        <v>25.575000000000003</v>
      </c>
      <c r="L51" s="87">
        <f t="shared" ref="L51" si="41">I51</f>
        <v>1963.01</v>
      </c>
      <c r="M51" s="87">
        <f t="shared" ref="M51" si="42">K51*L51</f>
        <v>50203.980750000002</v>
      </c>
      <c r="N51" s="23">
        <f t="shared" si="9"/>
        <v>0</v>
      </c>
      <c r="O51" s="23">
        <f t="shared" si="10"/>
        <v>0</v>
      </c>
      <c r="P51" t="s">
        <v>186</v>
      </c>
      <c r="Q51" t="s">
        <v>293</v>
      </c>
      <c r="R51" s="137" t="s">
        <v>864</v>
      </c>
      <c r="S51" t="s">
        <v>116</v>
      </c>
      <c r="T51">
        <f>6.24*2.5+3.99*2.5</f>
        <v>25.575000000000003</v>
      </c>
      <c r="U51">
        <v>1963.01</v>
      </c>
      <c r="V51">
        <v>50203.98</v>
      </c>
    </row>
    <row r="52" spans="1:22" ht="39.6">
      <c r="A52" s="138" t="str">
        <f t="shared" ref="A52:A66" si="43">P52</f>
        <v>4.12</v>
      </c>
      <c r="B52" s="138" t="str">
        <f t="shared" ref="B52:B66" si="44">Q52</f>
        <v xml:space="preserve">KNR-W 2-02 1022-0    </v>
      </c>
      <c r="C52" s="138" t="str">
        <f t="shared" ref="C52:C66" si="45">R52</f>
        <v>Drzwi płytowe  wew  jednoskrzydłowe fabrycznie wykończone z ościeżnicą -  do toalet D1,D2, D3</v>
      </c>
      <c r="D52" s="139" t="str">
        <f t="shared" ref="D52:D66" si="46">S52</f>
        <v>m2</v>
      </c>
      <c r="E52" s="86">
        <f t="shared" si="31"/>
        <v>32.118000000000002</v>
      </c>
      <c r="F52" s="86">
        <f t="shared" si="32"/>
        <v>370.91</v>
      </c>
      <c r="G52" s="86">
        <f t="shared" si="33"/>
        <v>11912.887380000002</v>
      </c>
      <c r="H52" s="85">
        <f t="shared" si="34"/>
        <v>0</v>
      </c>
      <c r="I52" s="85">
        <f t="shared" si="4"/>
        <v>370.91</v>
      </c>
      <c r="J52" s="85">
        <f t="shared" si="5"/>
        <v>0</v>
      </c>
      <c r="K52" s="87">
        <f t="shared" si="35"/>
        <v>32.118000000000002</v>
      </c>
      <c r="L52" s="87">
        <f t="shared" si="7"/>
        <v>370.91</v>
      </c>
      <c r="M52" s="87">
        <f t="shared" si="15"/>
        <v>11912.887380000002</v>
      </c>
      <c r="N52" s="23">
        <f t="shared" si="9"/>
        <v>0</v>
      </c>
      <c r="O52" s="23">
        <f t="shared" si="10"/>
        <v>0</v>
      </c>
      <c r="P52" t="s">
        <v>188</v>
      </c>
      <c r="Q52" t="s">
        <v>737</v>
      </c>
      <c r="R52" s="137" t="s">
        <v>187</v>
      </c>
      <c r="S52" t="s">
        <v>116</v>
      </c>
      <c r="T52">
        <f>0.8*2.02*3+0.9*2.02*15</f>
        <v>32.118000000000002</v>
      </c>
      <c r="U52">
        <v>370.91</v>
      </c>
      <c r="V52">
        <v>11912.89</v>
      </c>
    </row>
    <row r="53" spans="1:22" ht="39.6">
      <c r="A53" s="138" t="str">
        <f t="shared" si="43"/>
        <v>4.13</v>
      </c>
      <c r="B53" s="138" t="str">
        <f t="shared" si="44"/>
        <v xml:space="preserve">KNR-W 2-02 1022-0    </v>
      </c>
      <c r="C53" s="138" t="str">
        <f t="shared" si="45"/>
        <v>Drzwi płytowe MDF wew  pełne jednoskrzydłowe fabrycznie wykończone  z ościeznicą - do toalet D3*</v>
      </c>
      <c r="D53" s="139" t="str">
        <f t="shared" si="46"/>
        <v>m2</v>
      </c>
      <c r="E53" s="86">
        <f t="shared" si="31"/>
        <v>1.8180000000000001</v>
      </c>
      <c r="F53" s="86">
        <f t="shared" si="32"/>
        <v>370.91</v>
      </c>
      <c r="G53" s="86">
        <f t="shared" si="33"/>
        <v>674.31438000000003</v>
      </c>
      <c r="H53" s="85">
        <f t="shared" si="34"/>
        <v>0</v>
      </c>
      <c r="I53" s="85">
        <f t="shared" si="4"/>
        <v>370.91</v>
      </c>
      <c r="J53" s="85">
        <f t="shared" si="5"/>
        <v>0</v>
      </c>
      <c r="K53" s="87">
        <f t="shared" si="35"/>
        <v>1.8180000000000001</v>
      </c>
      <c r="L53" s="87">
        <f t="shared" si="7"/>
        <v>370.91</v>
      </c>
      <c r="M53" s="87">
        <f t="shared" si="15"/>
        <v>674.31438000000003</v>
      </c>
      <c r="N53" s="23">
        <f t="shared" si="9"/>
        <v>0</v>
      </c>
      <c r="O53" s="23">
        <f t="shared" si="10"/>
        <v>0</v>
      </c>
      <c r="P53" t="s">
        <v>190</v>
      </c>
      <c r="Q53" t="s">
        <v>737</v>
      </c>
      <c r="R53" s="137" t="s">
        <v>189</v>
      </c>
      <c r="S53" t="s">
        <v>116</v>
      </c>
      <c r="T53">
        <f>0.9*2.02</f>
        <v>1.8180000000000001</v>
      </c>
      <c r="U53">
        <v>370.91</v>
      </c>
      <c r="V53">
        <v>674.31</v>
      </c>
    </row>
    <row r="54" spans="1:22" ht="26.4">
      <c r="A54" s="138" t="str">
        <f t="shared" si="43"/>
        <v>4.14</v>
      </c>
      <c r="B54" s="138" t="str">
        <f t="shared" si="44"/>
        <v xml:space="preserve">KNR-W 2-02 1022-0    </v>
      </c>
      <c r="C54" s="138" t="str">
        <f t="shared" si="45"/>
        <v>Drzwi płytowe  wew  pełne jednoskrzydłowe fabrycznie wykończone z ościeżnicą - D4,D5</v>
      </c>
      <c r="D54" s="139" t="str">
        <f t="shared" si="46"/>
        <v>m2</v>
      </c>
      <c r="E54" s="86">
        <f t="shared" si="31"/>
        <v>70.902000000000001</v>
      </c>
      <c r="F54" s="86">
        <f t="shared" si="32"/>
        <v>370.91</v>
      </c>
      <c r="G54" s="86">
        <f t="shared" si="33"/>
        <v>26298.260820000003</v>
      </c>
      <c r="H54" s="85">
        <f t="shared" si="34"/>
        <v>0</v>
      </c>
      <c r="I54" s="85">
        <f t="shared" si="4"/>
        <v>370.91</v>
      </c>
      <c r="J54" s="85">
        <f t="shared" si="5"/>
        <v>0</v>
      </c>
      <c r="K54" s="87">
        <f t="shared" si="35"/>
        <v>70.902000000000001</v>
      </c>
      <c r="L54" s="87">
        <f t="shared" si="7"/>
        <v>370.91</v>
      </c>
      <c r="M54" s="87">
        <f t="shared" si="15"/>
        <v>26298.260820000003</v>
      </c>
      <c r="N54" s="23">
        <f t="shared" si="9"/>
        <v>0</v>
      </c>
      <c r="O54" s="23">
        <f t="shared" si="10"/>
        <v>0</v>
      </c>
      <c r="P54" t="s">
        <v>192</v>
      </c>
      <c r="Q54" t="s">
        <v>737</v>
      </c>
      <c r="R54" s="137" t="s">
        <v>191</v>
      </c>
      <c r="S54" t="s">
        <v>116</v>
      </c>
      <c r="T54">
        <f>0.9*2.02*39</f>
        <v>70.902000000000001</v>
      </c>
      <c r="U54">
        <v>370.91</v>
      </c>
      <c r="V54">
        <v>26298.26</v>
      </c>
    </row>
    <row r="55" spans="1:22" ht="39.6">
      <c r="A55" s="138" t="str">
        <f t="shared" si="43"/>
        <v>4.15</v>
      </c>
      <c r="B55" s="138" t="str">
        <f t="shared" si="44"/>
        <v xml:space="preserve">KNR-W 2-02 1022-0    </v>
      </c>
      <c r="C55" s="138" t="str">
        <f t="shared" si="45"/>
        <v>Drzwi płytowe MDF wew  pełne jednoskrzydłowe fabrycznie wykończone z ościeżnicą D5*</v>
      </c>
      <c r="D55" s="139" t="str">
        <f t="shared" si="46"/>
        <v>m2</v>
      </c>
      <c r="E55" s="86">
        <f t="shared" si="31"/>
        <v>1.8180000000000001</v>
      </c>
      <c r="F55" s="86">
        <f t="shared" si="32"/>
        <v>370.91</v>
      </c>
      <c r="G55" s="86">
        <f t="shared" si="33"/>
        <v>674.31438000000003</v>
      </c>
      <c r="H55" s="85">
        <f t="shared" si="34"/>
        <v>0</v>
      </c>
      <c r="I55" s="85">
        <f t="shared" si="4"/>
        <v>370.91</v>
      </c>
      <c r="J55" s="85">
        <f t="shared" si="5"/>
        <v>0</v>
      </c>
      <c r="K55" s="87">
        <f t="shared" si="35"/>
        <v>1.8180000000000001</v>
      </c>
      <c r="L55" s="87">
        <f t="shared" si="7"/>
        <v>370.91</v>
      </c>
      <c r="M55" s="87">
        <f t="shared" si="15"/>
        <v>674.31438000000003</v>
      </c>
      <c r="N55" s="23">
        <f t="shared" si="9"/>
        <v>0</v>
      </c>
      <c r="O55" s="23">
        <f t="shared" si="10"/>
        <v>0</v>
      </c>
      <c r="P55" t="s">
        <v>194</v>
      </c>
      <c r="Q55" t="s">
        <v>737</v>
      </c>
      <c r="R55" s="137" t="s">
        <v>193</v>
      </c>
      <c r="S55" t="s">
        <v>116</v>
      </c>
      <c r="T55">
        <f>0.9*2.02</f>
        <v>1.8180000000000001</v>
      </c>
      <c r="U55">
        <v>370.91</v>
      </c>
      <c r="V55">
        <v>674.31</v>
      </c>
    </row>
    <row r="56" spans="1:22" ht="39.6">
      <c r="A56" s="138" t="str">
        <f t="shared" si="43"/>
        <v>4.16</v>
      </c>
      <c r="B56" s="138" t="str">
        <f t="shared" si="44"/>
        <v xml:space="preserve">KNR-W 2-02 1022-0    </v>
      </c>
      <c r="C56" s="138" t="str">
        <f t="shared" si="45"/>
        <v>Drzwi płytowe wew pełne  jednoskrzydłowe fabrycznie wykończone z ościeżnicą   kąt otwarcia skrzydła 180 D6</v>
      </c>
      <c r="D56" s="139" t="str">
        <f t="shared" si="46"/>
        <v>m2</v>
      </c>
      <c r="E56" s="86">
        <f t="shared" si="31"/>
        <v>1.8180000000000001</v>
      </c>
      <c r="F56" s="86">
        <f t="shared" si="32"/>
        <v>429.72</v>
      </c>
      <c r="G56" s="86">
        <f t="shared" si="33"/>
        <v>781.2309600000001</v>
      </c>
      <c r="H56" s="85">
        <f t="shared" si="34"/>
        <v>0</v>
      </c>
      <c r="I56" s="85">
        <f t="shared" si="4"/>
        <v>429.72</v>
      </c>
      <c r="J56" s="85">
        <f t="shared" si="5"/>
        <v>0</v>
      </c>
      <c r="K56" s="87">
        <f t="shared" si="35"/>
        <v>1.8180000000000001</v>
      </c>
      <c r="L56" s="87">
        <f t="shared" si="7"/>
        <v>429.72</v>
      </c>
      <c r="M56" s="87">
        <f t="shared" si="15"/>
        <v>781.2309600000001</v>
      </c>
      <c r="N56" s="23">
        <f t="shared" si="9"/>
        <v>0</v>
      </c>
      <c r="O56" s="23">
        <f t="shared" si="10"/>
        <v>0</v>
      </c>
      <c r="P56" t="s">
        <v>196</v>
      </c>
      <c r="Q56" t="s">
        <v>737</v>
      </c>
      <c r="R56" s="137" t="s">
        <v>195</v>
      </c>
      <c r="S56" t="s">
        <v>116</v>
      </c>
      <c r="T56">
        <f>0.9*2.02</f>
        <v>1.8180000000000001</v>
      </c>
      <c r="U56">
        <v>429.72</v>
      </c>
      <c r="V56">
        <v>781.23</v>
      </c>
    </row>
    <row r="57" spans="1:22" ht="26.4">
      <c r="A57" s="138" t="str">
        <f t="shared" si="43"/>
        <v>4.17</v>
      </c>
      <c r="B57" s="138" t="str">
        <f t="shared" si="44"/>
        <v xml:space="preserve">KNR-W 2-02 1022-0    </v>
      </c>
      <c r="C57" s="138" t="str">
        <f t="shared" si="45"/>
        <v>Drzwi płytowe wew  pełne jednoskrzydłowe fabrycznie wykończone -  D7 EI30</v>
      </c>
      <c r="D57" s="139" t="str">
        <f t="shared" si="46"/>
        <v>m2</v>
      </c>
      <c r="E57" s="86">
        <f t="shared" si="31"/>
        <v>6.3629999999999995</v>
      </c>
      <c r="F57" s="86">
        <f t="shared" si="32"/>
        <v>929.41</v>
      </c>
      <c r="G57" s="86">
        <f t="shared" si="33"/>
        <v>5913.8358299999991</v>
      </c>
      <c r="H57" s="85">
        <f t="shared" si="34"/>
        <v>0</v>
      </c>
      <c r="I57" s="85">
        <f t="shared" si="4"/>
        <v>929.41</v>
      </c>
      <c r="J57" s="85">
        <f t="shared" si="5"/>
        <v>0</v>
      </c>
      <c r="K57" s="87">
        <f t="shared" si="35"/>
        <v>6.3629999999999995</v>
      </c>
      <c r="L57" s="87">
        <f t="shared" si="7"/>
        <v>929.41</v>
      </c>
      <c r="M57" s="87">
        <f t="shared" si="15"/>
        <v>5913.8358299999991</v>
      </c>
      <c r="N57" s="23">
        <f t="shared" si="9"/>
        <v>0</v>
      </c>
      <c r="O57" s="23">
        <f t="shared" si="10"/>
        <v>0</v>
      </c>
      <c r="P57" t="s">
        <v>198</v>
      </c>
      <c r="Q57" t="s">
        <v>737</v>
      </c>
      <c r="R57" s="137" t="s">
        <v>197</v>
      </c>
      <c r="S57" t="s">
        <v>116</v>
      </c>
      <c r="T57">
        <f>1.05*2.02*3</f>
        <v>6.3629999999999995</v>
      </c>
      <c r="U57">
        <v>929.41</v>
      </c>
      <c r="V57">
        <v>5913.84</v>
      </c>
    </row>
    <row r="58" spans="1:22">
      <c r="A58" s="138" t="str">
        <f t="shared" si="43"/>
        <v>4.18</v>
      </c>
      <c r="B58" s="138" t="str">
        <f t="shared" si="44"/>
        <v xml:space="preserve">KNR-W 2-02 1040-0    </v>
      </c>
      <c r="C58" s="138" t="str">
        <f t="shared" si="45"/>
        <v>Drzwi aluminiowe dwuskrzydłowe D8 EI60</v>
      </c>
      <c r="D58" s="139" t="str">
        <f t="shared" si="46"/>
        <v>m2</v>
      </c>
      <c r="E58" s="86">
        <f t="shared" si="31"/>
        <v>6.56</v>
      </c>
      <c r="F58" s="86">
        <f t="shared" si="32"/>
        <v>1644.12</v>
      </c>
      <c r="G58" s="86">
        <f t="shared" si="33"/>
        <v>10785.427199999998</v>
      </c>
      <c r="H58" s="85">
        <f t="shared" si="34"/>
        <v>6.56</v>
      </c>
      <c r="I58" s="85">
        <f t="shared" si="4"/>
        <v>1644.12</v>
      </c>
      <c r="J58" s="85">
        <f t="shared" si="5"/>
        <v>10785.427199999998</v>
      </c>
      <c r="K58" s="87">
        <v>0</v>
      </c>
      <c r="L58" s="87">
        <f t="shared" si="7"/>
        <v>1644.12</v>
      </c>
      <c r="M58" s="87">
        <f t="shared" si="15"/>
        <v>0</v>
      </c>
      <c r="N58" s="23">
        <f t="shared" si="9"/>
        <v>0</v>
      </c>
      <c r="O58" s="23">
        <f t="shared" si="10"/>
        <v>0</v>
      </c>
      <c r="P58" t="s">
        <v>201</v>
      </c>
      <c r="Q58" t="s">
        <v>738</v>
      </c>
      <c r="R58" s="137" t="s">
        <v>200</v>
      </c>
      <c r="S58" t="s">
        <v>116</v>
      </c>
      <c r="T58">
        <f>1.6*2.05*2</f>
        <v>6.56</v>
      </c>
      <c r="U58">
        <v>1644.12</v>
      </c>
      <c r="V58">
        <v>10785.43</v>
      </c>
    </row>
    <row r="59" spans="1:22" ht="26.4">
      <c r="A59" s="138" t="str">
        <f t="shared" si="43"/>
        <v>4.19</v>
      </c>
      <c r="B59" s="138" t="str">
        <f t="shared" si="44"/>
        <v xml:space="preserve">KNR-W 2-02 1040-0    </v>
      </c>
      <c r="C59" s="138" t="str">
        <f t="shared" si="45"/>
        <v>Drzwi aluminiowe wejściowe dwuskrzydłowe z naświetlem D9  EI60</v>
      </c>
      <c r="D59" s="139" t="str">
        <f t="shared" si="46"/>
        <v>m2</v>
      </c>
      <c r="E59" s="86">
        <f t="shared" si="31"/>
        <v>5.202</v>
      </c>
      <c r="F59" s="86">
        <f t="shared" si="32"/>
        <v>1691.09</v>
      </c>
      <c r="G59" s="86">
        <f t="shared" si="33"/>
        <v>8797.0501800000002</v>
      </c>
      <c r="H59" s="85">
        <f t="shared" si="34"/>
        <v>5.202</v>
      </c>
      <c r="I59" s="85">
        <f t="shared" si="4"/>
        <v>1691.09</v>
      </c>
      <c r="J59" s="85">
        <f t="shared" si="5"/>
        <v>8797.0501800000002</v>
      </c>
      <c r="K59" s="87">
        <v>0</v>
      </c>
      <c r="L59" s="87">
        <f t="shared" si="7"/>
        <v>1691.09</v>
      </c>
      <c r="M59" s="87">
        <f t="shared" si="15"/>
        <v>0</v>
      </c>
      <c r="N59" s="23">
        <f t="shared" si="9"/>
        <v>0</v>
      </c>
      <c r="O59" s="23">
        <f t="shared" si="10"/>
        <v>0</v>
      </c>
      <c r="P59" t="s">
        <v>203</v>
      </c>
      <c r="Q59" t="s">
        <v>738</v>
      </c>
      <c r="R59" s="137" t="s">
        <v>202</v>
      </c>
      <c r="S59" t="s">
        <v>116</v>
      </c>
      <c r="T59">
        <f>1.8*2.89</f>
        <v>5.202</v>
      </c>
      <c r="U59">
        <v>1691.09</v>
      </c>
      <c r="V59">
        <v>8797.0499999999993</v>
      </c>
    </row>
    <row r="60" spans="1:22" ht="52.8">
      <c r="A60" s="138" t="str">
        <f t="shared" si="43"/>
        <v>4.20</v>
      </c>
      <c r="B60" s="138" t="str">
        <f t="shared" si="44"/>
        <v xml:space="preserve">KNR-W 2-02 1022-0    </v>
      </c>
      <c r="C60" s="138" t="str">
        <f t="shared" si="45"/>
        <v>Skrzydła drzwiowe płytowe MDF wewnętrzne szklone jednoskrzydłowe o pow. ponad 1.6 m2 fabrycznie wykończone wraz z ościeznicą z zamkiem D11</v>
      </c>
      <c r="D60" s="139" t="str">
        <f t="shared" si="46"/>
        <v>m2</v>
      </c>
      <c r="E60" s="86">
        <f t="shared" si="31"/>
        <v>1.827</v>
      </c>
      <c r="F60" s="86">
        <f t="shared" si="32"/>
        <v>369.54</v>
      </c>
      <c r="G60" s="86">
        <f t="shared" si="33"/>
        <v>675.14958000000001</v>
      </c>
      <c r="H60" s="85">
        <f t="shared" si="34"/>
        <v>0</v>
      </c>
      <c r="I60" s="85">
        <f t="shared" si="4"/>
        <v>369.54</v>
      </c>
      <c r="J60" s="85">
        <f t="shared" si="5"/>
        <v>0</v>
      </c>
      <c r="K60" s="87">
        <f t="shared" si="35"/>
        <v>1.827</v>
      </c>
      <c r="L60" s="87">
        <f t="shared" si="7"/>
        <v>369.54</v>
      </c>
      <c r="M60" s="87">
        <f t="shared" si="15"/>
        <v>675.14958000000001</v>
      </c>
      <c r="N60" s="23">
        <f t="shared" si="9"/>
        <v>0</v>
      </c>
      <c r="O60" s="23">
        <f t="shared" si="10"/>
        <v>0</v>
      </c>
      <c r="P60" t="s">
        <v>205</v>
      </c>
      <c r="Q60" t="s">
        <v>737</v>
      </c>
      <c r="R60" s="137" t="s">
        <v>204</v>
      </c>
      <c r="S60" t="s">
        <v>116</v>
      </c>
      <c r="T60">
        <f>0.9*2.03</f>
        <v>1.827</v>
      </c>
      <c r="U60">
        <v>369.54</v>
      </c>
      <c r="V60">
        <v>675.15</v>
      </c>
    </row>
    <row r="61" spans="1:22">
      <c r="A61" s="138" t="str">
        <f t="shared" si="43"/>
        <v>4.21</v>
      </c>
      <c r="B61" s="138" t="str">
        <f t="shared" si="44"/>
        <v xml:space="preserve">  </v>
      </c>
      <c r="C61" s="138" t="str">
        <f t="shared" si="45"/>
        <v>Dodatek za samozamykacz</v>
      </c>
      <c r="D61" s="139" t="str">
        <f t="shared" si="46"/>
        <v>kpl</v>
      </c>
      <c r="E61" s="86">
        <f t="shared" si="31"/>
        <v>8</v>
      </c>
      <c r="F61" s="86">
        <f t="shared" si="32"/>
        <v>219.43</v>
      </c>
      <c r="G61" s="86">
        <f t="shared" si="33"/>
        <v>1755.44</v>
      </c>
      <c r="H61" s="85">
        <f t="shared" si="34"/>
        <v>0</v>
      </c>
      <c r="I61" s="85">
        <f t="shared" si="4"/>
        <v>219.43</v>
      </c>
      <c r="J61" s="85">
        <f t="shared" si="5"/>
        <v>0</v>
      </c>
      <c r="K61" s="87">
        <f t="shared" si="35"/>
        <v>8</v>
      </c>
      <c r="L61" s="87">
        <f t="shared" si="7"/>
        <v>219.43</v>
      </c>
      <c r="M61" s="87">
        <f t="shared" si="15"/>
        <v>1755.44</v>
      </c>
      <c r="N61" s="23">
        <f t="shared" si="9"/>
        <v>0</v>
      </c>
      <c r="O61" s="23">
        <f t="shared" si="10"/>
        <v>0</v>
      </c>
      <c r="P61" t="s">
        <v>208</v>
      </c>
      <c r="Q61" t="s">
        <v>178</v>
      </c>
      <c r="R61" s="137" t="s">
        <v>206</v>
      </c>
      <c r="S61" t="s">
        <v>207</v>
      </c>
      <c r="T61">
        <v>8</v>
      </c>
      <c r="U61">
        <v>219.43</v>
      </c>
      <c r="V61">
        <v>1755.44</v>
      </c>
    </row>
    <row r="62" spans="1:22" ht="26.4">
      <c r="A62" s="138" t="str">
        <f t="shared" si="43"/>
        <v>4.22</v>
      </c>
      <c r="B62" s="138" t="str">
        <f t="shared" si="44"/>
        <v xml:space="preserve">KNR-W 2-02 1040-0    </v>
      </c>
      <c r="C62" s="138" t="str">
        <f t="shared" si="45"/>
        <v>Drzwi aluminiowe wejściowe dwuskrzydłowe z naświetlem bocznym EI60   D12</v>
      </c>
      <c r="D62" s="139" t="str">
        <f t="shared" si="46"/>
        <v>m2</v>
      </c>
      <c r="E62" s="86">
        <f t="shared" si="31"/>
        <v>4.7233999999999989</v>
      </c>
      <c r="F62" s="86">
        <f t="shared" si="32"/>
        <v>1581.1</v>
      </c>
      <c r="G62" s="86">
        <f t="shared" si="33"/>
        <v>7468.167739999998</v>
      </c>
      <c r="H62" s="85">
        <f t="shared" si="34"/>
        <v>4.7233999999999989</v>
      </c>
      <c r="I62" s="85">
        <f t="shared" si="4"/>
        <v>1581.1</v>
      </c>
      <c r="J62" s="85">
        <f t="shared" si="5"/>
        <v>7468.167739999998</v>
      </c>
      <c r="K62" s="87">
        <v>0</v>
      </c>
      <c r="L62" s="87">
        <f t="shared" si="7"/>
        <v>1581.1</v>
      </c>
      <c r="M62" s="87">
        <f t="shared" si="15"/>
        <v>0</v>
      </c>
      <c r="N62" s="23">
        <f t="shared" si="9"/>
        <v>0</v>
      </c>
      <c r="O62" s="23">
        <f t="shared" si="10"/>
        <v>0</v>
      </c>
      <c r="P62" t="s">
        <v>210</v>
      </c>
      <c r="Q62" t="s">
        <v>738</v>
      </c>
      <c r="R62" s="137" t="s">
        <v>209</v>
      </c>
      <c r="S62" t="s">
        <v>116</v>
      </c>
      <c r="T62">
        <f>2.26*2.09</f>
        <v>4.7233999999999989</v>
      </c>
      <c r="U62">
        <v>1581.1</v>
      </c>
      <c r="V62">
        <v>7467.54</v>
      </c>
    </row>
    <row r="63" spans="1:22" ht="26.4">
      <c r="A63" s="138" t="str">
        <f t="shared" si="43"/>
        <v>4.23</v>
      </c>
      <c r="B63" s="138" t="str">
        <f t="shared" si="44"/>
        <v xml:space="preserve">KNR-W 2-02 1024-0    </v>
      </c>
      <c r="C63" s="138" t="str">
        <f t="shared" si="45"/>
        <v>Drzwi MDF wewnętrzne przesuwne fabrycznie wykończone D10</v>
      </c>
      <c r="D63" s="139" t="str">
        <f t="shared" si="46"/>
        <v>m2</v>
      </c>
      <c r="E63" s="86">
        <f t="shared" si="31"/>
        <v>1.8180000000000001</v>
      </c>
      <c r="F63" s="86">
        <f t="shared" si="32"/>
        <v>1064.26</v>
      </c>
      <c r="G63" s="86">
        <f t="shared" si="33"/>
        <v>1934.8246799999999</v>
      </c>
      <c r="H63" s="85">
        <f t="shared" si="34"/>
        <v>1.8180000000000001</v>
      </c>
      <c r="I63" s="85">
        <f t="shared" si="4"/>
        <v>1064.26</v>
      </c>
      <c r="J63" s="85">
        <f t="shared" si="5"/>
        <v>1934.8246799999999</v>
      </c>
      <c r="K63" s="87">
        <v>0</v>
      </c>
      <c r="L63" s="87">
        <f t="shared" si="7"/>
        <v>1064.26</v>
      </c>
      <c r="M63" s="87">
        <f t="shared" si="15"/>
        <v>0</v>
      </c>
      <c r="N63" s="23">
        <f t="shared" si="9"/>
        <v>0</v>
      </c>
      <c r="O63" s="23">
        <f t="shared" si="10"/>
        <v>0</v>
      </c>
      <c r="P63" t="s">
        <v>213</v>
      </c>
      <c r="Q63" t="s">
        <v>739</v>
      </c>
      <c r="R63" s="137" t="s">
        <v>212</v>
      </c>
      <c r="S63" t="s">
        <v>116</v>
      </c>
      <c r="T63">
        <f>0.9*2.02</f>
        <v>1.8180000000000001</v>
      </c>
      <c r="U63">
        <v>1064.26</v>
      </c>
      <c r="V63">
        <v>1934.82</v>
      </c>
    </row>
    <row r="64" spans="1:22" ht="39.6">
      <c r="A64" s="138" t="str">
        <f t="shared" si="43"/>
        <v>4.24</v>
      </c>
      <c r="B64" s="138" t="str">
        <f t="shared" si="44"/>
        <v xml:space="preserve">KNR-W 2-02 1040-0    </v>
      </c>
      <c r="C64" s="138" t="str">
        <f t="shared" si="45"/>
        <v>Ścianki ze szkła hartowanego gr 10mm  wewnętrzne w pomieszczeniach administracji -S8</v>
      </c>
      <c r="D64" s="139" t="str">
        <f t="shared" si="46"/>
        <v>m2</v>
      </c>
      <c r="E64" s="86">
        <f t="shared" si="31"/>
        <v>5.3550000000000004</v>
      </c>
      <c r="F64" s="86">
        <f t="shared" si="32"/>
        <v>639.23</v>
      </c>
      <c r="G64" s="86">
        <f t="shared" si="33"/>
        <v>3423.0766500000004</v>
      </c>
      <c r="H64" s="85">
        <f>E64-K64</f>
        <v>5.3550000000000004</v>
      </c>
      <c r="I64" s="85">
        <f t="shared" si="4"/>
        <v>639.23</v>
      </c>
      <c r="J64" s="85">
        <f t="shared" si="5"/>
        <v>3423.0766500000004</v>
      </c>
      <c r="K64" s="87">
        <v>0</v>
      </c>
      <c r="L64" s="87">
        <f t="shared" si="7"/>
        <v>639.23</v>
      </c>
      <c r="M64" s="87">
        <f t="shared" si="15"/>
        <v>0</v>
      </c>
      <c r="N64" s="23">
        <f t="shared" si="9"/>
        <v>0</v>
      </c>
      <c r="O64" s="23">
        <f t="shared" si="10"/>
        <v>0</v>
      </c>
      <c r="P64" t="s">
        <v>214</v>
      </c>
      <c r="Q64" t="s">
        <v>738</v>
      </c>
      <c r="R64" s="137" t="s">
        <v>740</v>
      </c>
      <c r="S64" t="s">
        <v>116</v>
      </c>
      <c r="T64">
        <v>5.3550000000000004</v>
      </c>
      <c r="U64">
        <v>639.23</v>
      </c>
      <c r="V64">
        <v>3423.08</v>
      </c>
    </row>
    <row r="65" spans="1:22" ht="26.4">
      <c r="A65" s="138" t="str">
        <f t="shared" si="43"/>
        <v>4.25</v>
      </c>
      <c r="B65" s="138" t="str">
        <f t="shared" si="44"/>
        <v xml:space="preserve">KNR-W 2-02 1024-0   </v>
      </c>
      <c r="C65" s="138" t="str">
        <f t="shared" si="45"/>
        <v>Drzwi wewnętrzne przesuwne  ze szkła hartowanego</v>
      </c>
      <c r="D65" s="139" t="str">
        <f t="shared" si="46"/>
        <v>m2</v>
      </c>
      <c r="E65" s="86">
        <f t="shared" si="31"/>
        <v>2.0685000000000002</v>
      </c>
      <c r="F65" s="86">
        <f t="shared" si="32"/>
        <v>738.9</v>
      </c>
      <c r="G65" s="86">
        <f t="shared" si="33"/>
        <v>1528.4146500000002</v>
      </c>
      <c r="H65" s="85">
        <f>E65-K65</f>
        <v>2.0685000000000002</v>
      </c>
      <c r="I65" s="85">
        <f t="shared" si="4"/>
        <v>738.9</v>
      </c>
      <c r="J65" s="85">
        <f t="shared" si="5"/>
        <v>1528.4146500000002</v>
      </c>
      <c r="K65" s="87">
        <v>0</v>
      </c>
      <c r="L65" s="87">
        <f t="shared" si="7"/>
        <v>738.9</v>
      </c>
      <c r="M65" s="87">
        <f t="shared" si="15"/>
        <v>0</v>
      </c>
      <c r="N65" s="23">
        <f t="shared" si="9"/>
        <v>0</v>
      </c>
      <c r="O65" s="23">
        <f t="shared" si="10"/>
        <v>0</v>
      </c>
      <c r="P65" t="s">
        <v>741</v>
      </c>
      <c r="Q65" t="s">
        <v>211</v>
      </c>
      <c r="R65" s="137" t="s">
        <v>215</v>
      </c>
      <c r="S65" t="s">
        <v>116</v>
      </c>
      <c r="T65">
        <f>0.985*2.1</f>
        <v>2.0685000000000002</v>
      </c>
      <c r="U65">
        <v>738.9</v>
      </c>
      <c r="V65">
        <v>1528.78</v>
      </c>
    </row>
    <row r="66" spans="1:22" ht="26.4">
      <c r="A66" s="138" t="str">
        <f t="shared" si="43"/>
        <v>4.26</v>
      </c>
      <c r="B66" s="138" t="str">
        <f t="shared" si="44"/>
        <v>NZ</v>
      </c>
      <c r="C66" s="138" t="str">
        <f t="shared" si="45"/>
        <v>Dodatek za wyposażenie drzwi zamykających w moduł elektrozaczepu SAP</v>
      </c>
      <c r="D66" s="139" t="str">
        <f t="shared" si="46"/>
        <v>szt</v>
      </c>
      <c r="E66" s="86">
        <f>T66</f>
        <v>2</v>
      </c>
      <c r="F66" s="86">
        <f>U66</f>
        <v>131.25</v>
      </c>
      <c r="G66" s="86">
        <f t="shared" ref="G66" si="47">E66*F66</f>
        <v>262.5</v>
      </c>
      <c r="H66" s="85">
        <v>1</v>
      </c>
      <c r="I66" s="85">
        <f t="shared" si="4"/>
        <v>131.25</v>
      </c>
      <c r="J66" s="85">
        <f t="shared" si="5"/>
        <v>131.25</v>
      </c>
      <c r="K66" s="87">
        <v>1</v>
      </c>
      <c r="L66" s="87">
        <f t="shared" si="7"/>
        <v>131.25</v>
      </c>
      <c r="M66" s="87">
        <f t="shared" si="15"/>
        <v>131.25</v>
      </c>
      <c r="N66" s="23">
        <f t="shared" si="9"/>
        <v>0</v>
      </c>
      <c r="O66" s="23">
        <f t="shared" si="10"/>
        <v>0</v>
      </c>
      <c r="P66" t="s">
        <v>865</v>
      </c>
      <c r="Q66" t="s">
        <v>742</v>
      </c>
      <c r="R66" s="137" t="s">
        <v>743</v>
      </c>
      <c r="S66" t="s">
        <v>744</v>
      </c>
      <c r="T66">
        <v>2</v>
      </c>
      <c r="U66">
        <v>131.25</v>
      </c>
      <c r="V66">
        <v>262.5</v>
      </c>
    </row>
    <row r="67" spans="1:22" ht="26.4">
      <c r="A67" s="147" t="s">
        <v>294</v>
      </c>
      <c r="B67" s="148"/>
      <c r="C67" s="149"/>
      <c r="D67" s="81"/>
      <c r="E67" s="88"/>
      <c r="F67" s="88"/>
      <c r="G67" s="88">
        <f>SUM(G41:G66)</f>
        <v>274050.96268</v>
      </c>
      <c r="H67" s="88"/>
      <c r="I67" s="88">
        <f t="shared" si="4"/>
        <v>0</v>
      </c>
      <c r="J67" s="88">
        <f>SUM(J41:J66)</f>
        <v>34068.211099999993</v>
      </c>
      <c r="K67" s="88"/>
      <c r="L67" s="88">
        <f t="shared" si="7"/>
        <v>0</v>
      </c>
      <c r="M67" s="88">
        <f>SUM(M41:M66)</f>
        <v>239982.75157999998</v>
      </c>
      <c r="N67" s="23">
        <f t="shared" si="9"/>
        <v>0</v>
      </c>
      <c r="O67" s="23">
        <f t="shared" si="10"/>
        <v>0</v>
      </c>
      <c r="P67" t="s">
        <v>294</v>
      </c>
      <c r="R67" s="137" t="s">
        <v>294</v>
      </c>
      <c r="V67">
        <v>274050.7</v>
      </c>
    </row>
    <row r="68" spans="1:22">
      <c r="A68" s="41">
        <v>5</v>
      </c>
      <c r="B68" s="41"/>
      <c r="C68" s="80" t="s">
        <v>295</v>
      </c>
      <c r="D68" s="81"/>
      <c r="E68" s="88"/>
      <c r="F68" s="88"/>
      <c r="G68" s="88"/>
      <c r="H68" s="88"/>
      <c r="I68" s="88">
        <f t="shared" si="4"/>
        <v>0</v>
      </c>
      <c r="J68" s="88">
        <f t="shared" si="5"/>
        <v>0</v>
      </c>
      <c r="K68" s="88"/>
      <c r="L68" s="88">
        <f t="shared" si="7"/>
        <v>0</v>
      </c>
      <c r="M68" s="88">
        <f t="shared" si="15"/>
        <v>0</v>
      </c>
      <c r="N68" s="23">
        <f t="shared" si="9"/>
        <v>0</v>
      </c>
      <c r="O68" s="23">
        <f t="shared" si="10"/>
        <v>0</v>
      </c>
      <c r="P68">
        <v>5</v>
      </c>
      <c r="R68" s="137" t="s">
        <v>295</v>
      </c>
    </row>
    <row r="69" spans="1:22" ht="66">
      <c r="A69" s="40" t="s">
        <v>216</v>
      </c>
      <c r="B69" s="40" t="s">
        <v>246</v>
      </c>
      <c r="C69" s="78" t="s">
        <v>217</v>
      </c>
      <c r="D69" s="79" t="s">
        <v>116</v>
      </c>
      <c r="E69" s="86">
        <f>T69</f>
        <v>233.41200000000001</v>
      </c>
      <c r="F69" s="86">
        <f>U69</f>
        <v>30.7</v>
      </c>
      <c r="G69" s="86">
        <f t="shared" ref="G69" si="48">E69*F69</f>
        <v>7165.7484000000004</v>
      </c>
      <c r="H69" s="85">
        <f>E69-K69</f>
        <v>0</v>
      </c>
      <c r="I69" s="85">
        <f t="shared" si="4"/>
        <v>30.7</v>
      </c>
      <c r="J69" s="85">
        <f t="shared" si="5"/>
        <v>0</v>
      </c>
      <c r="K69" s="87">
        <f>E69</f>
        <v>233.41200000000001</v>
      </c>
      <c r="L69" s="87">
        <f t="shared" si="7"/>
        <v>30.7</v>
      </c>
      <c r="M69" s="87">
        <f t="shared" si="15"/>
        <v>7165.7484000000004</v>
      </c>
      <c r="N69" s="23">
        <f t="shared" si="9"/>
        <v>0</v>
      </c>
      <c r="O69" s="23">
        <f t="shared" si="10"/>
        <v>0</v>
      </c>
      <c r="P69" t="s">
        <v>216</v>
      </c>
      <c r="Q69" t="s">
        <v>246</v>
      </c>
      <c r="R69" s="137" t="s">
        <v>217</v>
      </c>
      <c r="S69" t="s">
        <v>116</v>
      </c>
      <c r="T69">
        <v>233.41200000000001</v>
      </c>
      <c r="U69">
        <v>30.7</v>
      </c>
      <c r="V69">
        <v>7165.75</v>
      </c>
    </row>
    <row r="70" spans="1:22" ht="26.4">
      <c r="A70" s="40" t="s">
        <v>218</v>
      </c>
      <c r="B70" s="40" t="s">
        <v>745</v>
      </c>
      <c r="C70" s="78" t="s">
        <v>219</v>
      </c>
      <c r="D70" s="79" t="s">
        <v>116</v>
      </c>
      <c r="E70" s="86">
        <f t="shared" ref="E70:E83" si="49">T70</f>
        <v>308.142</v>
      </c>
      <c r="F70" s="86">
        <f t="shared" ref="F70:F83" si="50">U70</f>
        <v>114.54</v>
      </c>
      <c r="G70" s="86">
        <f t="shared" ref="G70:G83" si="51">E70*F70</f>
        <v>35294.58468</v>
      </c>
      <c r="H70" s="85">
        <f t="shared" ref="H70:H83" si="52">E70-K70</f>
        <v>0</v>
      </c>
      <c r="I70" s="85">
        <f t="shared" si="4"/>
        <v>114.54</v>
      </c>
      <c r="J70" s="85">
        <f t="shared" si="5"/>
        <v>0</v>
      </c>
      <c r="K70" s="87">
        <f t="shared" ref="K70:K82" si="53">E70</f>
        <v>308.142</v>
      </c>
      <c r="L70" s="87">
        <f t="shared" si="7"/>
        <v>114.54</v>
      </c>
      <c r="M70" s="87">
        <f t="shared" si="15"/>
        <v>35294.58468</v>
      </c>
      <c r="N70" s="23">
        <f t="shared" si="9"/>
        <v>0</v>
      </c>
      <c r="O70" s="23">
        <f t="shared" si="10"/>
        <v>0</v>
      </c>
      <c r="P70" t="s">
        <v>218</v>
      </c>
      <c r="Q70" t="s">
        <v>745</v>
      </c>
      <c r="R70" s="137" t="s">
        <v>219</v>
      </c>
      <c r="S70" t="s">
        <v>116</v>
      </c>
      <c r="T70">
        <v>308.142</v>
      </c>
      <c r="U70">
        <v>114.54</v>
      </c>
      <c r="V70">
        <v>35294.58</v>
      </c>
    </row>
    <row r="71" spans="1:22" ht="26.4">
      <c r="A71" s="40" t="s">
        <v>220</v>
      </c>
      <c r="B71" s="40" t="s">
        <v>746</v>
      </c>
      <c r="C71" s="78" t="s">
        <v>221</v>
      </c>
      <c r="D71" s="79" t="s">
        <v>116</v>
      </c>
      <c r="E71" s="86">
        <f t="shared" si="49"/>
        <v>430.685</v>
      </c>
      <c r="F71" s="86">
        <f t="shared" si="50"/>
        <v>12.55</v>
      </c>
      <c r="G71" s="86">
        <f t="shared" si="51"/>
        <v>5405.0967500000006</v>
      </c>
      <c r="H71" s="85">
        <f t="shared" si="52"/>
        <v>0</v>
      </c>
      <c r="I71" s="85">
        <f t="shared" si="4"/>
        <v>12.55</v>
      </c>
      <c r="J71" s="85">
        <f t="shared" si="5"/>
        <v>0</v>
      </c>
      <c r="K71" s="87">
        <f t="shared" si="53"/>
        <v>430.685</v>
      </c>
      <c r="L71" s="87">
        <f t="shared" si="7"/>
        <v>12.55</v>
      </c>
      <c r="M71" s="87">
        <f t="shared" si="15"/>
        <v>5405.0967500000006</v>
      </c>
      <c r="N71" s="23">
        <f t="shared" si="9"/>
        <v>0</v>
      </c>
      <c r="O71" s="23">
        <f t="shared" si="10"/>
        <v>0</v>
      </c>
      <c r="P71" t="s">
        <v>220</v>
      </c>
      <c r="Q71" t="s">
        <v>746</v>
      </c>
      <c r="R71" s="137" t="s">
        <v>221</v>
      </c>
      <c r="S71" t="s">
        <v>116</v>
      </c>
      <c r="T71">
        <v>430.685</v>
      </c>
      <c r="U71">
        <v>12.55</v>
      </c>
      <c r="V71">
        <v>5405.1</v>
      </c>
    </row>
    <row r="72" spans="1:22">
      <c r="A72" s="40" t="s">
        <v>222</v>
      </c>
      <c r="B72" s="40" t="s">
        <v>747</v>
      </c>
      <c r="C72" s="78" t="s">
        <v>223</v>
      </c>
      <c r="D72" s="79" t="s">
        <v>116</v>
      </c>
      <c r="E72" s="86">
        <f t="shared" si="49"/>
        <v>430.685</v>
      </c>
      <c r="F72" s="86">
        <f t="shared" si="50"/>
        <v>3.8</v>
      </c>
      <c r="G72" s="86">
        <f t="shared" si="51"/>
        <v>1636.6029999999998</v>
      </c>
      <c r="H72" s="85">
        <f t="shared" si="52"/>
        <v>0</v>
      </c>
      <c r="I72" s="85">
        <f t="shared" si="4"/>
        <v>3.8</v>
      </c>
      <c r="J72" s="85">
        <f t="shared" si="5"/>
        <v>0</v>
      </c>
      <c r="K72" s="87">
        <f t="shared" si="53"/>
        <v>430.685</v>
      </c>
      <c r="L72" s="87">
        <f t="shared" si="7"/>
        <v>3.8</v>
      </c>
      <c r="M72" s="87">
        <f t="shared" si="15"/>
        <v>1636.6029999999998</v>
      </c>
      <c r="N72" s="23">
        <f t="shared" si="9"/>
        <v>0</v>
      </c>
      <c r="O72" s="23">
        <f t="shared" si="10"/>
        <v>0</v>
      </c>
      <c r="P72" t="s">
        <v>222</v>
      </c>
      <c r="Q72" t="s">
        <v>747</v>
      </c>
      <c r="R72" s="137" t="s">
        <v>223</v>
      </c>
      <c r="S72" t="s">
        <v>116</v>
      </c>
      <c r="T72">
        <v>430.685</v>
      </c>
      <c r="U72">
        <v>3.8</v>
      </c>
      <c r="V72">
        <v>1636.6</v>
      </c>
    </row>
    <row r="73" spans="1:22">
      <c r="A73" s="40" t="s">
        <v>224</v>
      </c>
      <c r="B73" s="40" t="s">
        <v>748</v>
      </c>
      <c r="C73" s="78" t="s">
        <v>225</v>
      </c>
      <c r="D73" s="79" t="s">
        <v>116</v>
      </c>
      <c r="E73" s="86">
        <f t="shared" si="49"/>
        <v>16.274999999999999</v>
      </c>
      <c r="F73" s="86">
        <f t="shared" si="50"/>
        <v>1138.25</v>
      </c>
      <c r="G73" s="86">
        <f t="shared" si="51"/>
        <v>18525.018749999999</v>
      </c>
      <c r="H73" s="85">
        <f t="shared" si="52"/>
        <v>16.274999999999999</v>
      </c>
      <c r="I73" s="85">
        <f t="shared" ref="I73:I136" si="54">F73</f>
        <v>1138.25</v>
      </c>
      <c r="J73" s="85">
        <f t="shared" ref="J73:J136" si="55">H73*I73</f>
        <v>18525.018749999999</v>
      </c>
      <c r="K73" s="87">
        <v>0</v>
      </c>
      <c r="L73" s="87">
        <f t="shared" ref="L73:L136" si="56">I73</f>
        <v>1138.25</v>
      </c>
      <c r="M73" s="87">
        <f t="shared" ref="M73:M136" si="57">K73*L73</f>
        <v>0</v>
      </c>
      <c r="N73" s="23">
        <f t="shared" ref="N73:N136" si="58">E73-H73-K73</f>
        <v>0</v>
      </c>
      <c r="O73" s="23">
        <f t="shared" ref="O73:O136" si="59">G73-J73-M73</f>
        <v>0</v>
      </c>
      <c r="P73" t="s">
        <v>224</v>
      </c>
      <c r="Q73" t="s">
        <v>748</v>
      </c>
      <c r="R73" s="137" t="s">
        <v>225</v>
      </c>
      <c r="S73" t="s">
        <v>116</v>
      </c>
      <c r="T73">
        <f>5.425*3</f>
        <v>16.274999999999999</v>
      </c>
      <c r="U73">
        <v>1138.25</v>
      </c>
      <c r="V73">
        <v>18525.02</v>
      </c>
    </row>
    <row r="74" spans="1:22" ht="26.4">
      <c r="A74" s="40" t="s">
        <v>226</v>
      </c>
      <c r="B74" s="40" t="s">
        <v>227</v>
      </c>
      <c r="C74" s="78" t="s">
        <v>296</v>
      </c>
      <c r="D74" s="79" t="s">
        <v>116</v>
      </c>
      <c r="E74" s="86">
        <f t="shared" si="49"/>
        <v>48.284999999999997</v>
      </c>
      <c r="F74" s="86">
        <f t="shared" si="50"/>
        <v>383.94</v>
      </c>
      <c r="G74" s="86">
        <f t="shared" si="51"/>
        <v>18538.5429</v>
      </c>
      <c r="H74" s="85">
        <f t="shared" si="52"/>
        <v>48.284999999999997</v>
      </c>
      <c r="I74" s="85">
        <f t="shared" si="54"/>
        <v>383.94</v>
      </c>
      <c r="J74" s="85">
        <f t="shared" si="55"/>
        <v>18538.5429</v>
      </c>
      <c r="K74" s="87">
        <v>0</v>
      </c>
      <c r="L74" s="87">
        <f t="shared" si="56"/>
        <v>383.94</v>
      </c>
      <c r="M74" s="87">
        <f t="shared" si="57"/>
        <v>0</v>
      </c>
      <c r="N74" s="23">
        <f t="shared" si="58"/>
        <v>0</v>
      </c>
      <c r="O74" s="23">
        <f t="shared" si="59"/>
        <v>0</v>
      </c>
      <c r="P74" t="s">
        <v>226</v>
      </c>
      <c r="Q74" t="s">
        <v>227</v>
      </c>
      <c r="R74" s="137" t="s">
        <v>296</v>
      </c>
      <c r="S74" t="s">
        <v>116</v>
      </c>
      <c r="T74">
        <v>48.284999999999997</v>
      </c>
      <c r="U74">
        <v>383.94</v>
      </c>
      <c r="V74">
        <v>18538.54</v>
      </c>
    </row>
    <row r="75" spans="1:22" ht="26.4">
      <c r="A75" s="40" t="s">
        <v>228</v>
      </c>
      <c r="B75" s="40" t="s">
        <v>749</v>
      </c>
      <c r="C75" s="78" t="s">
        <v>229</v>
      </c>
      <c r="D75" s="79" t="s">
        <v>116</v>
      </c>
      <c r="E75" s="86">
        <f t="shared" si="49"/>
        <v>27.3</v>
      </c>
      <c r="F75" s="86">
        <f t="shared" si="50"/>
        <v>31.09</v>
      </c>
      <c r="G75" s="86">
        <f t="shared" si="51"/>
        <v>848.75700000000006</v>
      </c>
      <c r="H75" s="85">
        <f t="shared" si="52"/>
        <v>27.3</v>
      </c>
      <c r="I75" s="85">
        <f t="shared" si="54"/>
        <v>31.09</v>
      </c>
      <c r="J75" s="85">
        <f t="shared" si="55"/>
        <v>848.75700000000006</v>
      </c>
      <c r="K75" s="87">
        <v>0</v>
      </c>
      <c r="L75" s="87">
        <f t="shared" si="56"/>
        <v>31.09</v>
      </c>
      <c r="M75" s="87">
        <f t="shared" si="57"/>
        <v>0</v>
      </c>
      <c r="N75" s="23">
        <f t="shared" si="58"/>
        <v>0</v>
      </c>
      <c r="O75" s="23">
        <f t="shared" si="59"/>
        <v>0</v>
      </c>
      <c r="P75" t="s">
        <v>228</v>
      </c>
      <c r="Q75" t="s">
        <v>749</v>
      </c>
      <c r="R75" s="137" t="s">
        <v>229</v>
      </c>
      <c r="S75" t="s">
        <v>116</v>
      </c>
      <c r="T75">
        <f>10.92*2.5</f>
        <v>27.3</v>
      </c>
      <c r="U75">
        <v>31.09</v>
      </c>
      <c r="V75">
        <v>848.76</v>
      </c>
    </row>
    <row r="76" spans="1:22">
      <c r="A76" s="40" t="s">
        <v>230</v>
      </c>
      <c r="B76" s="40" t="s">
        <v>750</v>
      </c>
      <c r="C76" s="78" t="s">
        <v>231</v>
      </c>
      <c r="D76" s="79" t="s">
        <v>15</v>
      </c>
      <c r="E76" s="86">
        <f t="shared" si="49"/>
        <v>16.564999999999998</v>
      </c>
      <c r="F76" s="86">
        <f t="shared" si="50"/>
        <v>108.13</v>
      </c>
      <c r="G76" s="86">
        <f t="shared" si="51"/>
        <v>1791.1734499999998</v>
      </c>
      <c r="H76" s="85">
        <f t="shared" si="52"/>
        <v>16.564999999999998</v>
      </c>
      <c r="I76" s="85">
        <f t="shared" si="54"/>
        <v>108.13</v>
      </c>
      <c r="J76" s="85">
        <f t="shared" si="55"/>
        <v>1791.1734499999998</v>
      </c>
      <c r="K76" s="87">
        <v>0</v>
      </c>
      <c r="L76" s="87">
        <f t="shared" si="56"/>
        <v>108.13</v>
      </c>
      <c r="M76" s="87">
        <f t="shared" si="57"/>
        <v>0</v>
      </c>
      <c r="N76" s="23">
        <f t="shared" si="58"/>
        <v>0</v>
      </c>
      <c r="O76" s="23">
        <f t="shared" si="59"/>
        <v>0</v>
      </c>
      <c r="P76" t="s">
        <v>230</v>
      </c>
      <c r="Q76" t="s">
        <v>750</v>
      </c>
      <c r="R76" s="137" t="s">
        <v>231</v>
      </c>
      <c r="S76" t="s">
        <v>15</v>
      </c>
      <c r="T76">
        <f>10.92+5.645</f>
        <v>16.564999999999998</v>
      </c>
      <c r="U76">
        <v>108.13</v>
      </c>
      <c r="V76">
        <v>1791.17</v>
      </c>
    </row>
    <row r="77" spans="1:22" ht="39.6">
      <c r="A77" s="40" t="s">
        <v>232</v>
      </c>
      <c r="B77" s="40" t="s">
        <v>751</v>
      </c>
      <c r="C77" s="78" t="s">
        <v>752</v>
      </c>
      <c r="D77" s="79" t="s">
        <v>116</v>
      </c>
      <c r="E77" s="86">
        <f t="shared" si="49"/>
        <v>431.49700000000001</v>
      </c>
      <c r="F77" s="86">
        <f t="shared" si="50"/>
        <v>8.52</v>
      </c>
      <c r="G77" s="86">
        <f t="shared" si="51"/>
        <v>3676.3544400000001</v>
      </c>
      <c r="H77" s="85">
        <f t="shared" si="52"/>
        <v>0</v>
      </c>
      <c r="I77" s="85">
        <f t="shared" si="54"/>
        <v>8.52</v>
      </c>
      <c r="J77" s="85">
        <f t="shared" si="55"/>
        <v>0</v>
      </c>
      <c r="K77" s="87">
        <f t="shared" si="53"/>
        <v>431.49700000000001</v>
      </c>
      <c r="L77" s="87">
        <f t="shared" si="56"/>
        <v>8.52</v>
      </c>
      <c r="M77" s="87">
        <f t="shared" si="57"/>
        <v>3676.3544400000001</v>
      </c>
      <c r="N77" s="23">
        <f t="shared" si="58"/>
        <v>0</v>
      </c>
      <c r="O77" s="23">
        <f t="shared" si="59"/>
        <v>0</v>
      </c>
      <c r="P77" t="s">
        <v>232</v>
      </c>
      <c r="Q77" t="s">
        <v>751</v>
      </c>
      <c r="R77" s="137" t="s">
        <v>752</v>
      </c>
      <c r="S77" t="s">
        <v>116</v>
      </c>
      <c r="T77">
        <v>431.49700000000001</v>
      </c>
      <c r="U77">
        <v>8.52</v>
      </c>
      <c r="V77">
        <v>3676.35</v>
      </c>
    </row>
    <row r="78" spans="1:22" ht="52.8">
      <c r="A78" s="40" t="s">
        <v>233</v>
      </c>
      <c r="B78" s="40" t="s">
        <v>751</v>
      </c>
      <c r="C78" s="78" t="s">
        <v>234</v>
      </c>
      <c r="D78" s="79" t="s">
        <v>116</v>
      </c>
      <c r="E78" s="86">
        <f t="shared" si="49"/>
        <v>1611.6320000000001</v>
      </c>
      <c r="F78" s="86">
        <f t="shared" si="50"/>
        <v>17.829999999999998</v>
      </c>
      <c r="G78" s="86">
        <f t="shared" si="51"/>
        <v>28735.398559999998</v>
      </c>
      <c r="H78" s="85">
        <f t="shared" si="52"/>
        <v>0</v>
      </c>
      <c r="I78" s="85">
        <f t="shared" si="54"/>
        <v>17.829999999999998</v>
      </c>
      <c r="J78" s="85">
        <f t="shared" si="55"/>
        <v>0</v>
      </c>
      <c r="K78" s="87">
        <f t="shared" si="53"/>
        <v>1611.6320000000001</v>
      </c>
      <c r="L78" s="87">
        <f t="shared" si="56"/>
        <v>17.829999999999998</v>
      </c>
      <c r="M78" s="87">
        <f t="shared" si="57"/>
        <v>28735.398559999998</v>
      </c>
      <c r="N78" s="23">
        <f t="shared" si="58"/>
        <v>0</v>
      </c>
      <c r="O78" s="23">
        <f t="shared" si="59"/>
        <v>0</v>
      </c>
      <c r="P78" t="s">
        <v>233</v>
      </c>
      <c r="Q78" t="s">
        <v>751</v>
      </c>
      <c r="R78" s="137" t="s">
        <v>234</v>
      </c>
      <c r="S78" t="s">
        <v>116</v>
      </c>
      <c r="T78">
        <v>1611.6320000000001</v>
      </c>
      <c r="U78">
        <v>17.829999999999998</v>
      </c>
      <c r="V78">
        <v>28735.4</v>
      </c>
    </row>
    <row r="79" spans="1:22" ht="52.8">
      <c r="A79" s="40" t="s">
        <v>235</v>
      </c>
      <c r="B79" s="40" t="s">
        <v>753</v>
      </c>
      <c r="C79" s="78" t="s">
        <v>236</v>
      </c>
      <c r="D79" s="79" t="s">
        <v>116</v>
      </c>
      <c r="E79" s="86">
        <f t="shared" si="49"/>
        <v>341.52870000000001</v>
      </c>
      <c r="F79" s="86">
        <f t="shared" si="50"/>
        <v>55.87</v>
      </c>
      <c r="G79" s="86">
        <f t="shared" si="51"/>
        <v>19081.208469000001</v>
      </c>
      <c r="H79" s="85">
        <f t="shared" si="52"/>
        <v>0</v>
      </c>
      <c r="I79" s="85">
        <f t="shared" si="54"/>
        <v>55.87</v>
      </c>
      <c r="J79" s="85">
        <f t="shared" si="55"/>
        <v>0</v>
      </c>
      <c r="K79" s="87">
        <f t="shared" si="53"/>
        <v>341.52870000000001</v>
      </c>
      <c r="L79" s="87">
        <f t="shared" si="56"/>
        <v>55.87</v>
      </c>
      <c r="M79" s="87">
        <f t="shared" si="57"/>
        <v>19081.208469000001</v>
      </c>
      <c r="N79" s="23">
        <f t="shared" si="58"/>
        <v>0</v>
      </c>
      <c r="O79" s="23">
        <f t="shared" si="59"/>
        <v>0</v>
      </c>
      <c r="P79" t="s">
        <v>235</v>
      </c>
      <c r="Q79" t="s">
        <v>753</v>
      </c>
      <c r="R79" s="137" t="s">
        <v>236</v>
      </c>
      <c r="S79" t="s">
        <v>116</v>
      </c>
      <c r="T79">
        <f>1138.429*0.3</f>
        <v>341.52870000000001</v>
      </c>
      <c r="U79">
        <v>55.87</v>
      </c>
      <c r="V79">
        <v>19081.23</v>
      </c>
    </row>
    <row r="80" spans="1:22">
      <c r="A80" s="40" t="s">
        <v>237</v>
      </c>
      <c r="B80" s="40" t="s">
        <v>747</v>
      </c>
      <c r="C80" s="78" t="s">
        <v>238</v>
      </c>
      <c r="D80" s="79" t="s">
        <v>116</v>
      </c>
      <c r="E80" s="86">
        <f t="shared" si="49"/>
        <v>1138.4290000000001</v>
      </c>
      <c r="F80" s="86">
        <f t="shared" si="50"/>
        <v>3.8</v>
      </c>
      <c r="G80" s="86">
        <f t="shared" si="51"/>
        <v>4326.0302000000001</v>
      </c>
      <c r="H80" s="85">
        <f t="shared" si="52"/>
        <v>0</v>
      </c>
      <c r="I80" s="85">
        <f t="shared" si="54"/>
        <v>3.8</v>
      </c>
      <c r="J80" s="85">
        <f t="shared" si="55"/>
        <v>0</v>
      </c>
      <c r="K80" s="87">
        <f t="shared" si="53"/>
        <v>1138.4290000000001</v>
      </c>
      <c r="L80" s="87">
        <f t="shared" si="56"/>
        <v>3.8</v>
      </c>
      <c r="M80" s="87">
        <f t="shared" si="57"/>
        <v>4326.0302000000001</v>
      </c>
      <c r="N80" s="23">
        <f t="shared" si="58"/>
        <v>0</v>
      </c>
      <c r="O80" s="23">
        <f t="shared" si="59"/>
        <v>0</v>
      </c>
      <c r="P80" t="s">
        <v>237</v>
      </c>
      <c r="Q80" t="s">
        <v>747</v>
      </c>
      <c r="R80" s="137" t="s">
        <v>238</v>
      </c>
      <c r="S80" t="s">
        <v>116</v>
      </c>
      <c r="T80">
        <v>1138.4290000000001</v>
      </c>
      <c r="U80">
        <v>3.8</v>
      </c>
      <c r="V80">
        <v>4326.03</v>
      </c>
    </row>
    <row r="81" spans="1:22" ht="39.6">
      <c r="A81" s="40" t="s">
        <v>239</v>
      </c>
      <c r="B81" s="40" t="s">
        <v>751</v>
      </c>
      <c r="C81" s="78" t="s">
        <v>240</v>
      </c>
      <c r="D81" s="79" t="s">
        <v>116</v>
      </c>
      <c r="E81" s="86">
        <f t="shared" si="49"/>
        <v>1138.4290000000001</v>
      </c>
      <c r="F81" s="86">
        <f t="shared" si="50"/>
        <v>6.59</v>
      </c>
      <c r="G81" s="86">
        <f t="shared" si="51"/>
        <v>7502.2471100000002</v>
      </c>
      <c r="H81" s="85">
        <f t="shared" si="52"/>
        <v>0</v>
      </c>
      <c r="I81" s="85">
        <f t="shared" si="54"/>
        <v>6.59</v>
      </c>
      <c r="J81" s="85">
        <f t="shared" si="55"/>
        <v>0</v>
      </c>
      <c r="K81" s="87">
        <f t="shared" si="53"/>
        <v>1138.4290000000001</v>
      </c>
      <c r="L81" s="87">
        <f t="shared" si="56"/>
        <v>6.59</v>
      </c>
      <c r="M81" s="87">
        <f t="shared" si="57"/>
        <v>7502.2471100000002</v>
      </c>
      <c r="N81" s="23">
        <f t="shared" si="58"/>
        <v>0</v>
      </c>
      <c r="O81" s="23">
        <f t="shared" si="59"/>
        <v>0</v>
      </c>
      <c r="P81" t="s">
        <v>239</v>
      </c>
      <c r="Q81" t="s">
        <v>751</v>
      </c>
      <c r="R81" s="137" t="s">
        <v>240</v>
      </c>
      <c r="S81" t="s">
        <v>116</v>
      </c>
      <c r="T81">
        <v>1138.4290000000001</v>
      </c>
      <c r="U81">
        <v>6.59</v>
      </c>
      <c r="V81">
        <v>7502.25</v>
      </c>
    </row>
    <row r="82" spans="1:22" ht="52.8">
      <c r="A82" s="40" t="s">
        <v>241</v>
      </c>
      <c r="B82" s="40" t="s">
        <v>751</v>
      </c>
      <c r="C82" s="78" t="s">
        <v>242</v>
      </c>
      <c r="D82" s="79" t="s">
        <v>116</v>
      </c>
      <c r="E82" s="86">
        <f t="shared" si="49"/>
        <v>996.82399999999996</v>
      </c>
      <c r="F82" s="86">
        <f t="shared" si="50"/>
        <v>16.100000000000001</v>
      </c>
      <c r="G82" s="86">
        <f t="shared" si="51"/>
        <v>16048.866400000001</v>
      </c>
      <c r="H82" s="85">
        <f t="shared" si="52"/>
        <v>0</v>
      </c>
      <c r="I82" s="85">
        <f t="shared" si="54"/>
        <v>16.100000000000001</v>
      </c>
      <c r="J82" s="85">
        <f t="shared" si="55"/>
        <v>0</v>
      </c>
      <c r="K82" s="87">
        <f t="shared" si="53"/>
        <v>996.82399999999996</v>
      </c>
      <c r="L82" s="87">
        <f t="shared" si="56"/>
        <v>16.100000000000001</v>
      </c>
      <c r="M82" s="87">
        <f t="shared" si="57"/>
        <v>16048.866400000001</v>
      </c>
      <c r="N82" s="23">
        <f t="shared" si="58"/>
        <v>0</v>
      </c>
      <c r="O82" s="23">
        <f t="shared" si="59"/>
        <v>0</v>
      </c>
      <c r="P82" t="s">
        <v>241</v>
      </c>
      <c r="Q82" t="s">
        <v>751</v>
      </c>
      <c r="R82" s="137" t="s">
        <v>242</v>
      </c>
      <c r="S82" t="s">
        <v>116</v>
      </c>
      <c r="T82">
        <v>996.82399999999996</v>
      </c>
      <c r="U82">
        <v>16.100000000000001</v>
      </c>
      <c r="V82">
        <v>16048.87</v>
      </c>
    </row>
    <row r="83" spans="1:22">
      <c r="A83" s="40" t="s">
        <v>243</v>
      </c>
      <c r="B83" s="40" t="s">
        <v>178</v>
      </c>
      <c r="C83" s="78" t="s">
        <v>244</v>
      </c>
      <c r="D83" s="79" t="s">
        <v>15</v>
      </c>
      <c r="E83" s="86">
        <f t="shared" si="49"/>
        <v>94.85499999999999</v>
      </c>
      <c r="F83" s="86">
        <f t="shared" si="50"/>
        <v>138.08000000000001</v>
      </c>
      <c r="G83" s="86">
        <f t="shared" si="51"/>
        <v>13097.5784</v>
      </c>
      <c r="H83" s="85">
        <f t="shared" si="52"/>
        <v>94.85499999999999</v>
      </c>
      <c r="I83" s="85">
        <f t="shared" si="54"/>
        <v>138.08000000000001</v>
      </c>
      <c r="J83" s="85">
        <f t="shared" si="55"/>
        <v>13097.5784</v>
      </c>
      <c r="K83" s="87">
        <v>0</v>
      </c>
      <c r="L83" s="87">
        <f t="shared" si="56"/>
        <v>138.08000000000001</v>
      </c>
      <c r="M83" s="87">
        <f t="shared" si="57"/>
        <v>0</v>
      </c>
      <c r="N83" s="23">
        <f t="shared" si="58"/>
        <v>0</v>
      </c>
      <c r="O83" s="23">
        <f t="shared" si="59"/>
        <v>0</v>
      </c>
      <c r="P83" t="s">
        <v>243</v>
      </c>
      <c r="Q83" t="s">
        <v>178</v>
      </c>
      <c r="R83" s="137" t="s">
        <v>244</v>
      </c>
      <c r="S83" t="s">
        <v>15</v>
      </c>
      <c r="T83">
        <f>5.645+0.565+0.755+2.83+0.93+1.35+0.12*4+1.14+0.7+1.75+0.48*4+7.61+0.35*3+2.01-0.9*4+27.19*2+2.61+3.03+1.95-0.9*19+0.48*10+(14.04-3.03)*2-0.9*3+0.73</f>
        <v>94.85499999999999</v>
      </c>
      <c r="U83">
        <v>138.08000000000001</v>
      </c>
      <c r="V83">
        <v>13097.58</v>
      </c>
    </row>
    <row r="84" spans="1:22" ht="26.4">
      <c r="A84" s="147" t="s">
        <v>297</v>
      </c>
      <c r="B84" s="148"/>
      <c r="C84" s="149"/>
      <c r="D84" s="81"/>
      <c r="E84" s="88"/>
      <c r="F84" s="88"/>
      <c r="G84" s="88">
        <f>SUM(G69:G83)</f>
        <v>181673.20850899999</v>
      </c>
      <c r="H84" s="88"/>
      <c r="I84" s="88">
        <f t="shared" si="54"/>
        <v>0</v>
      </c>
      <c r="J84" s="88">
        <f>SUM(J69:J83)</f>
        <v>52801.070500000002</v>
      </c>
      <c r="K84" s="88"/>
      <c r="L84" s="88">
        <f t="shared" si="56"/>
        <v>0</v>
      </c>
      <c r="M84" s="88">
        <f>SUM(M69:M83)</f>
        <v>128872.13800899999</v>
      </c>
      <c r="N84" s="23">
        <f t="shared" si="58"/>
        <v>0</v>
      </c>
      <c r="O84" s="23">
        <f t="shared" si="59"/>
        <v>0</v>
      </c>
      <c r="P84" t="s">
        <v>297</v>
      </c>
      <c r="R84" s="137" t="s">
        <v>297</v>
      </c>
      <c r="V84">
        <v>181673.23</v>
      </c>
    </row>
    <row r="85" spans="1:22">
      <c r="A85" s="41">
        <v>6</v>
      </c>
      <c r="B85" s="141" t="s">
        <v>298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3"/>
      <c r="N85" s="23">
        <f t="shared" si="58"/>
        <v>0</v>
      </c>
      <c r="O85" s="23">
        <f t="shared" si="59"/>
        <v>0</v>
      </c>
      <c r="P85">
        <v>6</v>
      </c>
      <c r="R85" s="137" t="s">
        <v>298</v>
      </c>
    </row>
    <row r="86" spans="1:22" ht="39.6">
      <c r="A86" s="40" t="s">
        <v>245</v>
      </c>
      <c r="B86" s="40" t="s">
        <v>754</v>
      </c>
      <c r="C86" s="78" t="s">
        <v>247</v>
      </c>
      <c r="D86" s="79" t="s">
        <v>116</v>
      </c>
      <c r="E86" s="86">
        <f t="shared" ref="E86" si="60">T86</f>
        <v>63.1</v>
      </c>
      <c r="F86" s="86">
        <f t="shared" ref="F86" si="61">U86</f>
        <v>30.44</v>
      </c>
      <c r="G86" s="86">
        <f t="shared" ref="G86" si="62">E86*F86</f>
        <v>1920.7640000000001</v>
      </c>
      <c r="H86" s="85">
        <f t="shared" ref="H86:H93" si="63">E86-K86</f>
        <v>0</v>
      </c>
      <c r="I86" s="85">
        <f t="shared" si="54"/>
        <v>30.44</v>
      </c>
      <c r="J86" s="85">
        <f t="shared" si="55"/>
        <v>0</v>
      </c>
      <c r="K86" s="87">
        <f t="shared" ref="K86:K88" si="64">E86</f>
        <v>63.1</v>
      </c>
      <c r="L86" s="87">
        <f t="shared" si="56"/>
        <v>30.44</v>
      </c>
      <c r="M86" s="87">
        <f t="shared" si="57"/>
        <v>1920.7640000000001</v>
      </c>
      <c r="N86" s="23">
        <f t="shared" si="58"/>
        <v>0</v>
      </c>
      <c r="O86" s="23">
        <f t="shared" si="59"/>
        <v>0</v>
      </c>
      <c r="P86" t="s">
        <v>245</v>
      </c>
      <c r="Q86" t="s">
        <v>754</v>
      </c>
      <c r="R86" s="137" t="s">
        <v>247</v>
      </c>
      <c r="S86" t="s">
        <v>116</v>
      </c>
      <c r="T86">
        <f>3.2+4.4+7.2+5.7+4.7+5.6+8.3+3.2+3.6+6.7+2.1*2+2.9+3.4</f>
        <v>63.1</v>
      </c>
      <c r="U86">
        <v>30.44</v>
      </c>
      <c r="V86">
        <v>1920.76</v>
      </c>
    </row>
    <row r="87" spans="1:22" ht="26.4">
      <c r="A87" s="40" t="s">
        <v>248</v>
      </c>
      <c r="B87" s="40" t="s">
        <v>755</v>
      </c>
      <c r="C87" s="78" t="s">
        <v>249</v>
      </c>
      <c r="D87" s="79" t="s">
        <v>116</v>
      </c>
      <c r="E87" s="86">
        <f t="shared" ref="E87:E93" si="65">T87</f>
        <v>62.342750000000002</v>
      </c>
      <c r="F87" s="86">
        <f t="shared" ref="F87:F93" si="66">U87</f>
        <v>143.04</v>
      </c>
      <c r="G87" s="86">
        <f t="shared" ref="G87:G93" si="67">E87*F87</f>
        <v>8917.5069600000006</v>
      </c>
      <c r="H87" s="85">
        <f t="shared" si="63"/>
        <v>0</v>
      </c>
      <c r="I87" s="85">
        <f t="shared" si="54"/>
        <v>143.04</v>
      </c>
      <c r="J87" s="85">
        <f t="shared" si="55"/>
        <v>0</v>
      </c>
      <c r="K87" s="87">
        <f t="shared" si="64"/>
        <v>62.342750000000002</v>
      </c>
      <c r="L87" s="87">
        <f t="shared" si="56"/>
        <v>143.04</v>
      </c>
      <c r="M87" s="87">
        <f t="shared" si="57"/>
        <v>8917.5069600000006</v>
      </c>
      <c r="N87" s="23">
        <f t="shared" si="58"/>
        <v>0</v>
      </c>
      <c r="O87" s="23">
        <f t="shared" si="59"/>
        <v>0</v>
      </c>
      <c r="P87" t="s">
        <v>248</v>
      </c>
      <c r="Q87" t="s">
        <v>755</v>
      </c>
      <c r="R87" s="137" t="s">
        <v>249</v>
      </c>
      <c r="S87" t="s">
        <v>116</v>
      </c>
      <c r="T87">
        <f>63.1-5.825*0.13</f>
        <v>62.342750000000002</v>
      </c>
      <c r="U87">
        <v>143.04</v>
      </c>
      <c r="V87">
        <v>8917.5400000000009</v>
      </c>
    </row>
    <row r="88" spans="1:22" ht="26.4">
      <c r="A88" s="40" t="s">
        <v>250</v>
      </c>
      <c r="B88" s="40" t="s">
        <v>756</v>
      </c>
      <c r="C88" s="78" t="s">
        <v>251</v>
      </c>
      <c r="D88" s="79" t="s">
        <v>15</v>
      </c>
      <c r="E88" s="86">
        <f t="shared" si="65"/>
        <v>118.29000000000002</v>
      </c>
      <c r="F88" s="86">
        <f t="shared" si="66"/>
        <v>21.62</v>
      </c>
      <c r="G88" s="86">
        <f t="shared" si="67"/>
        <v>2557.4298000000003</v>
      </c>
      <c r="H88" s="85">
        <f t="shared" si="63"/>
        <v>0</v>
      </c>
      <c r="I88" s="85">
        <f t="shared" si="54"/>
        <v>21.62</v>
      </c>
      <c r="J88" s="85">
        <f t="shared" si="55"/>
        <v>0</v>
      </c>
      <c r="K88" s="87">
        <f t="shared" si="64"/>
        <v>118.29000000000002</v>
      </c>
      <c r="L88" s="87">
        <f t="shared" si="56"/>
        <v>21.62</v>
      </c>
      <c r="M88" s="87">
        <f t="shared" si="57"/>
        <v>2557.4298000000003</v>
      </c>
      <c r="N88" s="23">
        <f t="shared" si="58"/>
        <v>0</v>
      </c>
      <c r="O88" s="23">
        <f t="shared" si="59"/>
        <v>0</v>
      </c>
      <c r="P88" t="s">
        <v>250</v>
      </c>
      <c r="Q88" t="s">
        <v>756</v>
      </c>
      <c r="R88" s="137" t="s">
        <v>251</v>
      </c>
      <c r="S88" t="s">
        <v>15</v>
      </c>
      <c r="T88">
        <f>1.62*4+1.05*2+1.12+2.94*2-0.9+1.5*2+3.24*2+2.2*2-0.9+3.24*6+1.92*4+1.55*4+1.75*2-0.9*7+2.65*2+2.4*2+2.7*2+1.265*2-0.9*3+1.65*6+1.05*2+1.2*2-0.9*3+1.35*2-0.9+1.84*2+1.85*2+1.16*4-0.9*2+2.29*2+2.9*2-0.9+1.62*4+1.915*2+2.085*2-0.9-2</f>
        <v>118.29000000000002</v>
      </c>
      <c r="U88">
        <v>21.62</v>
      </c>
      <c r="V88">
        <v>2557.4299999999998</v>
      </c>
    </row>
    <row r="89" spans="1:22" ht="39.6">
      <c r="A89" s="40" t="s">
        <v>252</v>
      </c>
      <c r="B89" s="40" t="s">
        <v>757</v>
      </c>
      <c r="C89" s="78" t="s">
        <v>253</v>
      </c>
      <c r="D89" s="79" t="s">
        <v>116</v>
      </c>
      <c r="E89" s="86">
        <f t="shared" si="65"/>
        <v>63.5</v>
      </c>
      <c r="F89" s="86">
        <f t="shared" si="66"/>
        <v>129.79</v>
      </c>
      <c r="G89" s="86">
        <f t="shared" si="67"/>
        <v>8241.6649999999991</v>
      </c>
      <c r="H89" s="85">
        <f t="shared" si="63"/>
        <v>63.5</v>
      </c>
      <c r="I89" s="85">
        <f t="shared" si="54"/>
        <v>129.79</v>
      </c>
      <c r="J89" s="85">
        <f t="shared" si="55"/>
        <v>8241.6649999999991</v>
      </c>
      <c r="K89" s="87">
        <v>0</v>
      </c>
      <c r="L89" s="87">
        <f t="shared" si="56"/>
        <v>129.79</v>
      </c>
      <c r="M89" s="87">
        <f t="shared" si="57"/>
        <v>0</v>
      </c>
      <c r="N89" s="23">
        <f t="shared" si="58"/>
        <v>0</v>
      </c>
      <c r="O89" s="23">
        <f t="shared" si="59"/>
        <v>0</v>
      </c>
      <c r="P89" t="s">
        <v>252</v>
      </c>
      <c r="Q89" t="s">
        <v>757</v>
      </c>
      <c r="R89" s="137" t="s">
        <v>253</v>
      </c>
      <c r="S89" t="s">
        <v>116</v>
      </c>
      <c r="T89">
        <f>18.5+11.5+3.3+13.1+17.1</f>
        <v>63.5</v>
      </c>
      <c r="U89">
        <v>129.79</v>
      </c>
      <c r="V89">
        <v>8241.67</v>
      </c>
    </row>
    <row r="90" spans="1:22" ht="26.4">
      <c r="A90" s="40" t="s">
        <v>254</v>
      </c>
      <c r="B90" s="40" t="s">
        <v>758</v>
      </c>
      <c r="C90" s="78" t="s">
        <v>255</v>
      </c>
      <c r="D90" s="79" t="s">
        <v>116</v>
      </c>
      <c r="E90" s="86">
        <f t="shared" si="65"/>
        <v>554.79999999999995</v>
      </c>
      <c r="F90" s="86">
        <f t="shared" si="66"/>
        <v>9.7200000000000006</v>
      </c>
      <c r="G90" s="86">
        <f t="shared" si="67"/>
        <v>5392.6559999999999</v>
      </c>
      <c r="H90" s="85">
        <f t="shared" si="63"/>
        <v>554.79999999999995</v>
      </c>
      <c r="I90" s="85">
        <f t="shared" si="54"/>
        <v>9.7200000000000006</v>
      </c>
      <c r="J90" s="85">
        <f t="shared" si="55"/>
        <v>5392.6559999999999</v>
      </c>
      <c r="K90" s="87">
        <v>0</v>
      </c>
      <c r="L90" s="87">
        <f t="shared" si="56"/>
        <v>9.7200000000000006</v>
      </c>
      <c r="M90" s="87">
        <f t="shared" si="57"/>
        <v>0</v>
      </c>
      <c r="N90" s="23">
        <f t="shared" si="58"/>
        <v>0</v>
      </c>
      <c r="O90" s="23">
        <f t="shared" si="59"/>
        <v>0</v>
      </c>
      <c r="P90" t="s">
        <v>254</v>
      </c>
      <c r="Q90" t="s">
        <v>758</v>
      </c>
      <c r="R90" s="137" t="s">
        <v>255</v>
      </c>
      <c r="S90" t="s">
        <v>116</v>
      </c>
      <c r="T90">
        <f>762.5-(63.1+63.5+81.1)</f>
        <v>554.79999999999995</v>
      </c>
      <c r="U90">
        <v>9.7200000000000006</v>
      </c>
      <c r="V90">
        <v>5392.66</v>
      </c>
    </row>
    <row r="91" spans="1:22">
      <c r="A91" s="40" t="s">
        <v>256</v>
      </c>
      <c r="B91" s="40" t="s">
        <v>759</v>
      </c>
      <c r="C91" s="78" t="s">
        <v>257</v>
      </c>
      <c r="D91" s="79" t="s">
        <v>116</v>
      </c>
      <c r="E91" s="86">
        <f t="shared" si="65"/>
        <v>552.40929999999992</v>
      </c>
      <c r="F91" s="86">
        <f t="shared" si="66"/>
        <v>122.83</v>
      </c>
      <c r="G91" s="86">
        <f t="shared" si="67"/>
        <v>67852.434318999993</v>
      </c>
      <c r="H91" s="85">
        <f t="shared" si="63"/>
        <v>276.20464999999996</v>
      </c>
      <c r="I91" s="85">
        <f t="shared" si="54"/>
        <v>122.83</v>
      </c>
      <c r="J91" s="85">
        <f t="shared" si="55"/>
        <v>33926.217159499996</v>
      </c>
      <c r="K91" s="87">
        <f>E91/2</f>
        <v>276.20464999999996</v>
      </c>
      <c r="L91" s="87">
        <f t="shared" si="56"/>
        <v>122.83</v>
      </c>
      <c r="M91" s="87">
        <f t="shared" si="57"/>
        <v>33926.217159499996</v>
      </c>
      <c r="N91" s="23">
        <f t="shared" si="58"/>
        <v>0</v>
      </c>
      <c r="O91" s="23">
        <f t="shared" si="59"/>
        <v>0</v>
      </c>
      <c r="P91" t="s">
        <v>256</v>
      </c>
      <c r="Q91" t="s">
        <v>759</v>
      </c>
      <c r="R91" s="137" t="s">
        <v>257</v>
      </c>
      <c r="S91" t="s">
        <v>116</v>
      </c>
      <c r="T91">
        <f>762.5-(63.1+63.5+81.1)-18.39*0.13</f>
        <v>552.40929999999992</v>
      </c>
      <c r="U91">
        <v>122.83</v>
      </c>
      <c r="V91">
        <v>67852.399999999994</v>
      </c>
    </row>
    <row r="92" spans="1:22" ht="26.4">
      <c r="A92" s="40" t="s">
        <v>258</v>
      </c>
      <c r="B92" s="40" t="s">
        <v>759</v>
      </c>
      <c r="C92" s="78" t="s">
        <v>259</v>
      </c>
      <c r="D92" s="79" t="s">
        <v>116</v>
      </c>
      <c r="E92" s="86">
        <f t="shared" si="65"/>
        <v>552.40929999999992</v>
      </c>
      <c r="F92" s="86">
        <f t="shared" si="66"/>
        <v>4.62</v>
      </c>
      <c r="G92" s="86">
        <f t="shared" si="67"/>
        <v>2552.1309659999997</v>
      </c>
      <c r="H92" s="85">
        <f t="shared" si="63"/>
        <v>276.20464999999996</v>
      </c>
      <c r="I92" s="85">
        <f t="shared" si="54"/>
        <v>4.62</v>
      </c>
      <c r="J92" s="85">
        <f t="shared" si="55"/>
        <v>1276.0654829999999</v>
      </c>
      <c r="K92" s="87">
        <f>E92/2</f>
        <v>276.20464999999996</v>
      </c>
      <c r="L92" s="87">
        <f t="shared" si="56"/>
        <v>4.62</v>
      </c>
      <c r="M92" s="87">
        <f t="shared" si="57"/>
        <v>1276.0654829999999</v>
      </c>
      <c r="N92" s="23">
        <f t="shared" si="58"/>
        <v>0</v>
      </c>
      <c r="O92" s="23">
        <f t="shared" si="59"/>
        <v>0</v>
      </c>
      <c r="P92" t="s">
        <v>258</v>
      </c>
      <c r="Q92" t="s">
        <v>759</v>
      </c>
      <c r="R92" s="137" t="s">
        <v>259</v>
      </c>
      <c r="S92" t="s">
        <v>116</v>
      </c>
      <c r="T92">
        <f>762.5-(63.1+63.5+81.1)-18.39*0.13</f>
        <v>552.40929999999992</v>
      </c>
      <c r="U92">
        <v>4.62</v>
      </c>
      <c r="V92">
        <v>2552.13</v>
      </c>
    </row>
    <row r="93" spans="1:22" ht="26.4">
      <c r="A93" s="40" t="s">
        <v>260</v>
      </c>
      <c r="B93" s="40" t="s">
        <v>750</v>
      </c>
      <c r="C93" s="78" t="s">
        <v>261</v>
      </c>
      <c r="D93" s="79" t="s">
        <v>15</v>
      </c>
      <c r="E93" s="86">
        <f t="shared" si="65"/>
        <v>457.55500000000001</v>
      </c>
      <c r="F93" s="86">
        <f t="shared" si="66"/>
        <v>27.96</v>
      </c>
      <c r="G93" s="86">
        <f t="shared" si="67"/>
        <v>12793.237800000001</v>
      </c>
      <c r="H93" s="85">
        <f t="shared" si="63"/>
        <v>228.7775</v>
      </c>
      <c r="I93" s="85">
        <f t="shared" si="54"/>
        <v>27.96</v>
      </c>
      <c r="J93" s="85">
        <f t="shared" si="55"/>
        <v>6396.6189000000004</v>
      </c>
      <c r="K93" s="87">
        <f>E93/2</f>
        <v>228.7775</v>
      </c>
      <c r="L93" s="87">
        <f t="shared" si="56"/>
        <v>27.96</v>
      </c>
      <c r="M93" s="87">
        <f t="shared" si="57"/>
        <v>6396.6189000000004</v>
      </c>
      <c r="N93" s="23">
        <f t="shared" si="58"/>
        <v>0</v>
      </c>
      <c r="O93" s="23">
        <f t="shared" si="59"/>
        <v>0</v>
      </c>
      <c r="P93" t="s">
        <v>260</v>
      </c>
      <c r="Q93" t="s">
        <v>750</v>
      </c>
      <c r="R93" s="137" t="s">
        <v>261</v>
      </c>
      <c r="S93" t="s">
        <v>15</v>
      </c>
      <c r="T93">
        <f>475.945-18.39</f>
        <v>457.55500000000001</v>
      </c>
      <c r="U93">
        <v>27.96</v>
      </c>
      <c r="V93">
        <v>12793.24</v>
      </c>
    </row>
    <row r="94" spans="1:22">
      <c r="A94" s="147" t="s">
        <v>299</v>
      </c>
      <c r="B94" s="148"/>
      <c r="C94" s="149"/>
      <c r="D94" s="81"/>
      <c r="E94" s="88"/>
      <c r="F94" s="88"/>
      <c r="G94" s="88">
        <f>SUM(G86:G93)</f>
        <v>110227.824845</v>
      </c>
      <c r="H94" s="88"/>
      <c r="I94" s="88">
        <f t="shared" si="54"/>
        <v>0</v>
      </c>
      <c r="J94" s="88">
        <f>SUM(J86:J93)</f>
        <v>55233.222542499992</v>
      </c>
      <c r="K94" s="88"/>
      <c r="L94" s="88">
        <f t="shared" si="56"/>
        <v>0</v>
      </c>
      <c r="M94" s="88">
        <f>SUM(M86:M93)</f>
        <v>54994.602302499996</v>
      </c>
      <c r="N94" s="23">
        <f t="shared" si="58"/>
        <v>0</v>
      </c>
      <c r="O94" s="23">
        <f t="shared" si="59"/>
        <v>0</v>
      </c>
      <c r="P94" t="s">
        <v>299</v>
      </c>
      <c r="R94" s="137" t="s">
        <v>299</v>
      </c>
      <c r="V94">
        <v>110227.83</v>
      </c>
    </row>
    <row r="95" spans="1:22">
      <c r="A95" s="41">
        <v>7</v>
      </c>
      <c r="B95" s="141" t="s">
        <v>300</v>
      </c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3"/>
      <c r="N95" s="23">
        <f t="shared" si="58"/>
        <v>0</v>
      </c>
      <c r="O95" s="23">
        <f t="shared" si="59"/>
        <v>0</v>
      </c>
      <c r="P95">
        <v>7</v>
      </c>
      <c r="R95" s="137" t="s">
        <v>300</v>
      </c>
    </row>
    <row r="96" spans="1:22" ht="26.4">
      <c r="A96" s="40" t="s">
        <v>262</v>
      </c>
      <c r="B96" s="40" t="s">
        <v>760</v>
      </c>
      <c r="C96" s="78" t="s">
        <v>263</v>
      </c>
      <c r="D96" s="79" t="s">
        <v>122</v>
      </c>
      <c r="E96" s="86">
        <f t="shared" ref="E96" si="68">T96</f>
        <v>0.875</v>
      </c>
      <c r="F96" s="86">
        <f t="shared" ref="F96" si="69">U96</f>
        <v>510.61</v>
      </c>
      <c r="G96" s="86">
        <f t="shared" ref="G96" si="70">E96*F96</f>
        <v>446.78375</v>
      </c>
      <c r="H96" s="85">
        <f t="shared" ref="H96:H102" si="71">E96-K96</f>
        <v>0.29166666666666663</v>
      </c>
      <c r="I96" s="85">
        <f t="shared" si="54"/>
        <v>510.61</v>
      </c>
      <c r="J96" s="85">
        <f t="shared" si="55"/>
        <v>148.92791666666665</v>
      </c>
      <c r="K96" s="87">
        <f>E96/3*2</f>
        <v>0.58333333333333337</v>
      </c>
      <c r="L96" s="87">
        <f t="shared" si="56"/>
        <v>510.61</v>
      </c>
      <c r="M96" s="87">
        <f t="shared" si="57"/>
        <v>297.85583333333335</v>
      </c>
      <c r="N96" s="23">
        <f t="shared" si="58"/>
        <v>0</v>
      </c>
      <c r="O96" s="23">
        <f t="shared" si="59"/>
        <v>0</v>
      </c>
      <c r="P96" t="s">
        <v>262</v>
      </c>
      <c r="Q96" t="s">
        <v>760</v>
      </c>
      <c r="R96" s="137" t="s">
        <v>263</v>
      </c>
      <c r="S96" t="s">
        <v>122</v>
      </c>
      <c r="T96">
        <f>0.25*0.25*14</f>
        <v>0.875</v>
      </c>
      <c r="U96">
        <v>510.61</v>
      </c>
      <c r="V96">
        <v>446.78</v>
      </c>
    </row>
    <row r="97" spans="1:22" ht="26.4">
      <c r="A97" s="40" t="s">
        <v>264</v>
      </c>
      <c r="B97" s="40" t="s">
        <v>761</v>
      </c>
      <c r="C97" s="78" t="s">
        <v>265</v>
      </c>
      <c r="D97" s="79" t="s">
        <v>116</v>
      </c>
      <c r="E97" s="86">
        <f t="shared" ref="E97:E101" si="72">T97</f>
        <v>1.7149999999999999</v>
      </c>
      <c r="F97" s="86">
        <f t="shared" ref="F97:F101" si="73">U97</f>
        <v>14.09</v>
      </c>
      <c r="G97" s="86">
        <f t="shared" ref="G97:G102" si="74">E97*F97</f>
        <v>24.164349999999999</v>
      </c>
      <c r="H97" s="85">
        <f t="shared" si="71"/>
        <v>0.57166666666666655</v>
      </c>
      <c r="I97" s="85">
        <f t="shared" si="54"/>
        <v>14.09</v>
      </c>
      <c r="J97" s="85">
        <f t="shared" si="55"/>
        <v>8.0547833333333312</v>
      </c>
      <c r="K97" s="87">
        <f t="shared" ref="K97:K102" si="75">E97/3*2</f>
        <v>1.1433333333333333</v>
      </c>
      <c r="L97" s="87">
        <f t="shared" si="56"/>
        <v>14.09</v>
      </c>
      <c r="M97" s="87">
        <f t="shared" si="57"/>
        <v>16.109566666666666</v>
      </c>
      <c r="N97" s="23">
        <f t="shared" si="58"/>
        <v>0</v>
      </c>
      <c r="O97" s="23">
        <f t="shared" si="59"/>
        <v>0</v>
      </c>
      <c r="P97" t="s">
        <v>264</v>
      </c>
      <c r="Q97" t="s">
        <v>761</v>
      </c>
      <c r="R97" s="137" t="s">
        <v>265</v>
      </c>
      <c r="S97" t="s">
        <v>116</v>
      </c>
      <c r="T97">
        <f>0.35*0.35*14</f>
        <v>1.7149999999999999</v>
      </c>
      <c r="U97">
        <v>14.09</v>
      </c>
      <c r="V97">
        <v>24.16</v>
      </c>
    </row>
    <row r="98" spans="1:22" ht="26.4">
      <c r="A98" s="40" t="s">
        <v>266</v>
      </c>
      <c r="B98" s="40" t="s">
        <v>762</v>
      </c>
      <c r="C98" s="78" t="s">
        <v>267</v>
      </c>
      <c r="D98" s="79" t="s">
        <v>268</v>
      </c>
      <c r="E98" s="86">
        <f t="shared" si="72"/>
        <v>0.25409999999999999</v>
      </c>
      <c r="F98" s="86">
        <f t="shared" si="73"/>
        <v>29366.21</v>
      </c>
      <c r="G98" s="86">
        <f t="shared" si="74"/>
        <v>7461.9539609999993</v>
      </c>
      <c r="H98" s="85">
        <f t="shared" si="71"/>
        <v>8.4699999999999998E-2</v>
      </c>
      <c r="I98" s="85">
        <f t="shared" si="54"/>
        <v>29366.21</v>
      </c>
      <c r="J98" s="85">
        <f t="shared" si="55"/>
        <v>2487.3179869999999</v>
      </c>
      <c r="K98" s="87">
        <f t="shared" si="75"/>
        <v>0.1694</v>
      </c>
      <c r="L98" s="87">
        <f t="shared" si="56"/>
        <v>29366.21</v>
      </c>
      <c r="M98" s="87">
        <f t="shared" si="57"/>
        <v>4974.6359739999998</v>
      </c>
      <c r="N98" s="23">
        <f t="shared" si="58"/>
        <v>0</v>
      </c>
      <c r="O98" s="23">
        <f t="shared" si="59"/>
        <v>0</v>
      </c>
      <c r="P98" t="s">
        <v>266</v>
      </c>
      <c r="Q98" t="s">
        <v>762</v>
      </c>
      <c r="R98" s="137" t="s">
        <v>267</v>
      </c>
      <c r="S98" t="s">
        <v>268</v>
      </c>
      <c r="T98">
        <f>254.1/1000</f>
        <v>0.25409999999999999</v>
      </c>
      <c r="U98">
        <v>29366.21</v>
      </c>
      <c r="V98">
        <v>7459.02</v>
      </c>
    </row>
    <row r="99" spans="1:22">
      <c r="A99" s="40" t="s">
        <v>269</v>
      </c>
      <c r="B99" s="40" t="s">
        <v>301</v>
      </c>
      <c r="C99" s="78" t="s">
        <v>270</v>
      </c>
      <c r="D99" s="79" t="s">
        <v>10</v>
      </c>
      <c r="E99" s="86">
        <f t="shared" si="72"/>
        <v>56</v>
      </c>
      <c r="F99" s="86">
        <f t="shared" si="73"/>
        <v>24.33</v>
      </c>
      <c r="G99" s="86">
        <f t="shared" si="74"/>
        <v>1362.48</v>
      </c>
      <c r="H99" s="85">
        <f t="shared" si="71"/>
        <v>18.666666666666664</v>
      </c>
      <c r="I99" s="85">
        <f t="shared" si="54"/>
        <v>24.33</v>
      </c>
      <c r="J99" s="85">
        <f t="shared" si="55"/>
        <v>454.15999999999991</v>
      </c>
      <c r="K99" s="87">
        <f t="shared" si="75"/>
        <v>37.333333333333336</v>
      </c>
      <c r="L99" s="87">
        <f t="shared" si="56"/>
        <v>24.33</v>
      </c>
      <c r="M99" s="87">
        <f t="shared" si="57"/>
        <v>908.32</v>
      </c>
      <c r="N99" s="23">
        <f t="shared" si="58"/>
        <v>0</v>
      </c>
      <c r="O99" s="23">
        <f t="shared" si="59"/>
        <v>0</v>
      </c>
      <c r="P99" t="s">
        <v>269</v>
      </c>
      <c r="Q99" t="s">
        <v>301</v>
      </c>
      <c r="R99" s="137" t="s">
        <v>270</v>
      </c>
      <c r="S99" t="s">
        <v>10</v>
      </c>
      <c r="T99">
        <v>56</v>
      </c>
      <c r="U99">
        <v>24.33</v>
      </c>
      <c r="V99">
        <v>1362.48</v>
      </c>
    </row>
    <row r="100" spans="1:22" ht="39.6">
      <c r="A100" s="40" t="s">
        <v>271</v>
      </c>
      <c r="B100" s="40" t="s">
        <v>763</v>
      </c>
      <c r="C100" s="78" t="s">
        <v>272</v>
      </c>
      <c r="D100" s="79" t="s">
        <v>116</v>
      </c>
      <c r="E100" s="86">
        <f t="shared" si="72"/>
        <v>23.85</v>
      </c>
      <c r="F100" s="86">
        <f t="shared" si="73"/>
        <v>80.8</v>
      </c>
      <c r="G100" s="86">
        <f t="shared" si="74"/>
        <v>1927.0800000000002</v>
      </c>
      <c r="H100" s="85">
        <f t="shared" si="71"/>
        <v>7.9500000000000011</v>
      </c>
      <c r="I100" s="85">
        <f t="shared" si="54"/>
        <v>80.8</v>
      </c>
      <c r="J100" s="85">
        <f t="shared" si="55"/>
        <v>642.36</v>
      </c>
      <c r="K100" s="87">
        <f t="shared" si="75"/>
        <v>15.9</v>
      </c>
      <c r="L100" s="87">
        <f t="shared" si="56"/>
        <v>80.8</v>
      </c>
      <c r="M100" s="87">
        <f t="shared" si="57"/>
        <v>1284.72</v>
      </c>
      <c r="N100" s="23">
        <f t="shared" si="58"/>
        <v>0</v>
      </c>
      <c r="O100" s="23">
        <f t="shared" si="59"/>
        <v>0</v>
      </c>
      <c r="P100" t="s">
        <v>271</v>
      </c>
      <c r="Q100" t="s">
        <v>763</v>
      </c>
      <c r="R100" s="137" t="s">
        <v>272</v>
      </c>
      <c r="S100" t="s">
        <v>116</v>
      </c>
      <c r="T100">
        <v>23.85</v>
      </c>
      <c r="U100">
        <v>80.8</v>
      </c>
      <c r="V100">
        <v>1927.08</v>
      </c>
    </row>
    <row r="101" spans="1:22" ht="39.6">
      <c r="A101" s="40" t="s">
        <v>273</v>
      </c>
      <c r="B101" s="40" t="s">
        <v>764</v>
      </c>
      <c r="C101" s="78" t="s">
        <v>274</v>
      </c>
      <c r="D101" s="79" t="s">
        <v>15</v>
      </c>
      <c r="E101" s="86">
        <f t="shared" si="72"/>
        <v>29.59</v>
      </c>
      <c r="F101" s="86">
        <f t="shared" si="73"/>
        <v>16.690000000000001</v>
      </c>
      <c r="G101" s="86">
        <f t="shared" si="74"/>
        <v>493.85710000000006</v>
      </c>
      <c r="H101" s="85">
        <f t="shared" si="71"/>
        <v>9.8633333333333333</v>
      </c>
      <c r="I101" s="85">
        <f t="shared" si="54"/>
        <v>16.690000000000001</v>
      </c>
      <c r="J101" s="85">
        <f t="shared" si="55"/>
        <v>164.61903333333333</v>
      </c>
      <c r="K101" s="87">
        <f t="shared" si="75"/>
        <v>19.726666666666667</v>
      </c>
      <c r="L101" s="87">
        <f t="shared" si="56"/>
        <v>16.690000000000001</v>
      </c>
      <c r="M101" s="87">
        <f t="shared" si="57"/>
        <v>329.23806666666667</v>
      </c>
      <c r="N101" s="23">
        <f t="shared" si="58"/>
        <v>0</v>
      </c>
      <c r="O101" s="23">
        <f t="shared" si="59"/>
        <v>0</v>
      </c>
      <c r="P101" t="s">
        <v>273</v>
      </c>
      <c r="Q101" t="s">
        <v>764</v>
      </c>
      <c r="R101" s="137" t="s">
        <v>274</v>
      </c>
      <c r="S101" t="s">
        <v>15</v>
      </c>
      <c r="T101">
        <v>29.59</v>
      </c>
      <c r="U101">
        <v>16.690000000000001</v>
      </c>
      <c r="V101">
        <v>493.86</v>
      </c>
    </row>
    <row r="102" spans="1:22" ht="26.4">
      <c r="A102" s="40" t="s">
        <v>275</v>
      </c>
      <c r="B102" s="40"/>
      <c r="C102" s="78" t="s">
        <v>765</v>
      </c>
      <c r="D102" s="79" t="s">
        <v>207</v>
      </c>
      <c r="E102" s="86">
        <v>1</v>
      </c>
      <c r="F102" s="86">
        <f>V102</f>
        <v>1261.53</v>
      </c>
      <c r="G102" s="86">
        <f t="shared" si="74"/>
        <v>1261.53</v>
      </c>
      <c r="H102" s="85">
        <f t="shared" si="71"/>
        <v>0.33333333333333337</v>
      </c>
      <c r="I102" s="85">
        <f t="shared" si="54"/>
        <v>1261.53</v>
      </c>
      <c r="J102" s="85">
        <f t="shared" si="55"/>
        <v>420.51000000000005</v>
      </c>
      <c r="K102" s="87">
        <f t="shared" si="75"/>
        <v>0.66666666666666663</v>
      </c>
      <c r="L102" s="87">
        <f t="shared" si="56"/>
        <v>1261.53</v>
      </c>
      <c r="M102" s="87">
        <f t="shared" si="57"/>
        <v>841.02</v>
      </c>
      <c r="N102" s="23">
        <f t="shared" si="58"/>
        <v>0</v>
      </c>
      <c r="O102" s="23">
        <f t="shared" si="59"/>
        <v>0</v>
      </c>
      <c r="P102" t="s">
        <v>275</v>
      </c>
      <c r="R102" s="137" t="s">
        <v>276</v>
      </c>
      <c r="V102">
        <v>1261.53</v>
      </c>
    </row>
    <row r="103" spans="1:22" ht="26.4">
      <c r="A103" s="147" t="s">
        <v>302</v>
      </c>
      <c r="B103" s="148"/>
      <c r="C103" s="149"/>
      <c r="D103" s="81"/>
      <c r="E103" s="88"/>
      <c r="F103" s="88"/>
      <c r="G103" s="88">
        <f>SUM(G96:G102)</f>
        <v>12977.849160999998</v>
      </c>
      <c r="H103" s="88"/>
      <c r="I103" s="88">
        <f t="shared" si="54"/>
        <v>0</v>
      </c>
      <c r="J103" s="88">
        <f>SUM(J96:J102)</f>
        <v>4325.9497203333331</v>
      </c>
      <c r="K103" s="88"/>
      <c r="L103" s="88">
        <f t="shared" si="56"/>
        <v>0</v>
      </c>
      <c r="M103" s="88">
        <f>SUM(M96:M102)</f>
        <v>8651.8994406666661</v>
      </c>
      <c r="N103" s="23">
        <f t="shared" si="58"/>
        <v>0</v>
      </c>
      <c r="O103" s="23">
        <f t="shared" si="59"/>
        <v>0</v>
      </c>
      <c r="P103" t="s">
        <v>302</v>
      </c>
      <c r="R103" s="137" t="s">
        <v>302</v>
      </c>
      <c r="V103">
        <v>12974.91</v>
      </c>
    </row>
    <row r="104" spans="1:22">
      <c r="A104" s="41">
        <v>8</v>
      </c>
      <c r="B104" s="141" t="s">
        <v>766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3"/>
      <c r="N104" s="23">
        <f t="shared" si="58"/>
        <v>0</v>
      </c>
      <c r="O104" s="23">
        <f t="shared" si="59"/>
        <v>0</v>
      </c>
      <c r="P104">
        <v>8</v>
      </c>
      <c r="R104" s="137" t="s">
        <v>766</v>
      </c>
    </row>
    <row r="105" spans="1:22">
      <c r="A105" s="41" t="s">
        <v>767</v>
      </c>
      <c r="B105" s="141" t="s">
        <v>768</v>
      </c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3"/>
      <c r="N105" s="23">
        <f t="shared" si="58"/>
        <v>0</v>
      </c>
      <c r="O105" s="23">
        <f t="shared" si="59"/>
        <v>0</v>
      </c>
      <c r="P105" t="s">
        <v>767</v>
      </c>
      <c r="R105" s="137" t="s">
        <v>768</v>
      </c>
    </row>
    <row r="106" spans="1:22">
      <c r="A106" s="40" t="s">
        <v>769</v>
      </c>
      <c r="B106" s="40" t="s">
        <v>770</v>
      </c>
      <c r="C106" s="92" t="s">
        <v>771</v>
      </c>
      <c r="D106" s="79" t="s">
        <v>116</v>
      </c>
      <c r="E106" s="86">
        <f t="shared" ref="E106" si="76">T106</f>
        <v>13.205500000000002</v>
      </c>
      <c r="F106" s="86">
        <f t="shared" ref="F106" si="77">U106</f>
        <v>80.98</v>
      </c>
      <c r="G106" s="86">
        <f t="shared" ref="G106" si="78">E106*F106</f>
        <v>1069.3813900000002</v>
      </c>
      <c r="H106" s="85">
        <f t="shared" ref="H106:H112" si="79">E106-K106</f>
        <v>13.205500000000002</v>
      </c>
      <c r="I106" s="85">
        <f t="shared" si="54"/>
        <v>80.98</v>
      </c>
      <c r="J106" s="85">
        <f t="shared" si="55"/>
        <v>1069.3813900000002</v>
      </c>
      <c r="K106" s="87">
        <v>0</v>
      </c>
      <c r="L106" s="87">
        <f t="shared" si="56"/>
        <v>80.98</v>
      </c>
      <c r="M106" s="87">
        <f t="shared" si="57"/>
        <v>0</v>
      </c>
      <c r="N106" s="23">
        <f t="shared" si="58"/>
        <v>0</v>
      </c>
      <c r="O106" s="23">
        <f t="shared" si="59"/>
        <v>0</v>
      </c>
      <c r="P106" t="s">
        <v>769</v>
      </c>
      <c r="Q106" t="s">
        <v>770</v>
      </c>
      <c r="R106" s="137" t="s">
        <v>771</v>
      </c>
      <c r="S106" t="s">
        <v>116</v>
      </c>
      <c r="T106">
        <f>(5.11+0.67+2.25+1+3.25+0.44+0.44+3.25+1+2.25+0.67+2.9+0.78)*0.55</f>
        <v>13.205500000000002</v>
      </c>
      <c r="U106">
        <v>80.98</v>
      </c>
      <c r="V106">
        <v>1069.42</v>
      </c>
    </row>
    <row r="107" spans="1:22" ht="26.4">
      <c r="A107" s="40" t="s">
        <v>772</v>
      </c>
      <c r="B107" s="40" t="s">
        <v>773</v>
      </c>
      <c r="C107" s="78" t="s">
        <v>774</v>
      </c>
      <c r="D107" s="79" t="s">
        <v>116</v>
      </c>
      <c r="E107" s="86">
        <f t="shared" ref="E107:E112" si="80">T107</f>
        <v>13.206</v>
      </c>
      <c r="F107" s="86">
        <f t="shared" ref="F107:F112" si="81">U107</f>
        <v>21.37</v>
      </c>
      <c r="G107" s="86">
        <f t="shared" ref="G107:G112" si="82">E107*F107</f>
        <v>282.21222</v>
      </c>
      <c r="H107" s="85">
        <f t="shared" si="79"/>
        <v>13.206</v>
      </c>
      <c r="I107" s="85">
        <f t="shared" si="54"/>
        <v>21.37</v>
      </c>
      <c r="J107" s="85">
        <f t="shared" si="55"/>
        <v>282.21222</v>
      </c>
      <c r="K107" s="87">
        <v>0</v>
      </c>
      <c r="L107" s="87">
        <f t="shared" si="56"/>
        <v>21.37</v>
      </c>
      <c r="M107" s="87">
        <f t="shared" si="57"/>
        <v>0</v>
      </c>
      <c r="N107" s="23">
        <f t="shared" si="58"/>
        <v>0</v>
      </c>
      <c r="O107" s="23">
        <f t="shared" si="59"/>
        <v>0</v>
      </c>
      <c r="P107" t="s">
        <v>772</v>
      </c>
      <c r="Q107" t="s">
        <v>773</v>
      </c>
      <c r="R107" s="137" t="s">
        <v>774</v>
      </c>
      <c r="S107" t="s">
        <v>116</v>
      </c>
      <c r="T107">
        <v>13.206</v>
      </c>
      <c r="U107">
        <v>21.37</v>
      </c>
      <c r="V107">
        <v>282.20999999999998</v>
      </c>
    </row>
    <row r="108" spans="1:22" ht="26.4">
      <c r="A108" s="40" t="s">
        <v>775</v>
      </c>
      <c r="B108" s="40" t="s">
        <v>776</v>
      </c>
      <c r="C108" s="78" t="s">
        <v>777</v>
      </c>
      <c r="D108" s="79" t="s">
        <v>15</v>
      </c>
      <c r="E108" s="86">
        <f t="shared" si="80"/>
        <v>24.01</v>
      </c>
      <c r="F108" s="86">
        <f t="shared" si="81"/>
        <v>104.28</v>
      </c>
      <c r="G108" s="86">
        <f t="shared" si="82"/>
        <v>2503.7628</v>
      </c>
      <c r="H108" s="85">
        <f t="shared" si="79"/>
        <v>24.01</v>
      </c>
      <c r="I108" s="85">
        <f t="shared" si="54"/>
        <v>104.28</v>
      </c>
      <c r="J108" s="85">
        <f t="shared" si="55"/>
        <v>2503.7628</v>
      </c>
      <c r="K108" s="87">
        <v>0</v>
      </c>
      <c r="L108" s="87">
        <f t="shared" si="56"/>
        <v>104.28</v>
      </c>
      <c r="M108" s="87">
        <f t="shared" si="57"/>
        <v>0</v>
      </c>
      <c r="N108" s="23">
        <f t="shared" si="58"/>
        <v>0</v>
      </c>
      <c r="O108" s="23">
        <f t="shared" si="59"/>
        <v>0</v>
      </c>
      <c r="P108" t="s">
        <v>775</v>
      </c>
      <c r="Q108" t="s">
        <v>776</v>
      </c>
      <c r="R108" s="137" t="s">
        <v>777</v>
      </c>
      <c r="S108" t="s">
        <v>15</v>
      </c>
      <c r="T108">
        <f>5.11+1.02-0.35+2.25+1+3.25+0.44+0.44+3.25+1+2.25+0.67+2.9+0.78</f>
        <v>24.01</v>
      </c>
      <c r="U108">
        <v>104.28</v>
      </c>
      <c r="V108">
        <v>2503.7600000000002</v>
      </c>
    </row>
    <row r="109" spans="1:22" ht="26.4">
      <c r="A109" s="40" t="s">
        <v>778</v>
      </c>
      <c r="B109" s="40" t="s">
        <v>779</v>
      </c>
      <c r="C109" s="78" t="s">
        <v>780</v>
      </c>
      <c r="D109" s="79" t="s">
        <v>781</v>
      </c>
      <c r="E109" s="86">
        <f t="shared" si="80"/>
        <v>3.8500000000000005</v>
      </c>
      <c r="F109" s="86">
        <f t="shared" si="81"/>
        <v>41.06</v>
      </c>
      <c r="G109" s="86">
        <f t="shared" si="82"/>
        <v>158.08100000000002</v>
      </c>
      <c r="H109" s="85">
        <f t="shared" si="79"/>
        <v>3.8500000000000005</v>
      </c>
      <c r="I109" s="85">
        <f t="shared" si="54"/>
        <v>41.06</v>
      </c>
      <c r="J109" s="85">
        <f t="shared" si="55"/>
        <v>158.08100000000002</v>
      </c>
      <c r="K109" s="87">
        <v>0</v>
      </c>
      <c r="L109" s="87">
        <f t="shared" si="56"/>
        <v>41.06</v>
      </c>
      <c r="M109" s="87">
        <f t="shared" si="57"/>
        <v>0</v>
      </c>
      <c r="N109" s="23">
        <f t="shared" si="58"/>
        <v>0</v>
      </c>
      <c r="O109" s="23">
        <f t="shared" si="59"/>
        <v>0</v>
      </c>
      <c r="P109" t="s">
        <v>778</v>
      </c>
      <c r="Q109" t="s">
        <v>779</v>
      </c>
      <c r="R109" s="137" t="s">
        <v>780</v>
      </c>
      <c r="S109" t="s">
        <v>781</v>
      </c>
      <c r="T109">
        <f>0.55*7</f>
        <v>3.8500000000000005</v>
      </c>
      <c r="U109">
        <v>41.06</v>
      </c>
      <c r="V109">
        <v>158.08000000000001</v>
      </c>
    </row>
    <row r="110" spans="1:22">
      <c r="A110" s="40" t="s">
        <v>782</v>
      </c>
      <c r="B110" s="40" t="s">
        <v>783</v>
      </c>
      <c r="C110" s="78" t="s">
        <v>784</v>
      </c>
      <c r="D110" s="79" t="s">
        <v>116</v>
      </c>
      <c r="E110" s="86">
        <f t="shared" si="80"/>
        <v>13.206</v>
      </c>
      <c r="F110" s="86">
        <f t="shared" si="81"/>
        <v>14.72</v>
      </c>
      <c r="G110" s="86">
        <f t="shared" si="82"/>
        <v>194.39232000000001</v>
      </c>
      <c r="H110" s="85">
        <f t="shared" si="79"/>
        <v>13.206</v>
      </c>
      <c r="I110" s="85">
        <f t="shared" si="54"/>
        <v>14.72</v>
      </c>
      <c r="J110" s="85">
        <f t="shared" si="55"/>
        <v>194.39232000000001</v>
      </c>
      <c r="K110" s="87">
        <v>0</v>
      </c>
      <c r="L110" s="87">
        <f t="shared" si="56"/>
        <v>14.72</v>
      </c>
      <c r="M110" s="87">
        <f t="shared" si="57"/>
        <v>0</v>
      </c>
      <c r="N110" s="23">
        <f t="shared" si="58"/>
        <v>0</v>
      </c>
      <c r="O110" s="23">
        <f t="shared" si="59"/>
        <v>0</v>
      </c>
      <c r="P110" t="s">
        <v>782</v>
      </c>
      <c r="Q110" t="s">
        <v>783</v>
      </c>
      <c r="R110" s="137" t="s">
        <v>784</v>
      </c>
      <c r="S110" t="s">
        <v>116</v>
      </c>
      <c r="T110">
        <v>13.206</v>
      </c>
      <c r="U110">
        <v>14.72</v>
      </c>
      <c r="V110">
        <v>194.39</v>
      </c>
    </row>
    <row r="111" spans="1:22">
      <c r="A111" s="40" t="s">
        <v>785</v>
      </c>
      <c r="B111" s="40" t="s">
        <v>786</v>
      </c>
      <c r="C111" s="78" t="s">
        <v>787</v>
      </c>
      <c r="D111" s="79" t="s">
        <v>116</v>
      </c>
      <c r="E111" s="86">
        <f t="shared" si="80"/>
        <v>2.6795</v>
      </c>
      <c r="F111" s="86">
        <f t="shared" si="81"/>
        <v>124.01</v>
      </c>
      <c r="G111" s="86">
        <f t="shared" si="82"/>
        <v>332.28479500000003</v>
      </c>
      <c r="H111" s="85">
        <f t="shared" si="79"/>
        <v>2.6795</v>
      </c>
      <c r="I111" s="85">
        <f t="shared" si="54"/>
        <v>124.01</v>
      </c>
      <c r="J111" s="85">
        <f t="shared" si="55"/>
        <v>332.28479500000003</v>
      </c>
      <c r="K111" s="87">
        <v>0</v>
      </c>
      <c r="L111" s="87">
        <f t="shared" si="56"/>
        <v>124.01</v>
      </c>
      <c r="M111" s="87">
        <f t="shared" si="57"/>
        <v>0</v>
      </c>
      <c r="N111" s="23">
        <f t="shared" si="58"/>
        <v>0</v>
      </c>
      <c r="O111" s="23">
        <f t="shared" si="59"/>
        <v>0</v>
      </c>
      <c r="P111" t="s">
        <v>785</v>
      </c>
      <c r="Q111" t="s">
        <v>786</v>
      </c>
      <c r="R111" s="137" t="s">
        <v>787</v>
      </c>
      <c r="S111" t="s">
        <v>116</v>
      </c>
      <c r="T111">
        <f>(1.75+3.295+0.78)*0.46</f>
        <v>2.6795</v>
      </c>
      <c r="U111">
        <v>124.01</v>
      </c>
      <c r="V111">
        <v>332.35</v>
      </c>
    </row>
    <row r="112" spans="1:22">
      <c r="A112" s="40" t="s">
        <v>788</v>
      </c>
      <c r="B112" s="40" t="s">
        <v>789</v>
      </c>
      <c r="C112" s="78" t="s">
        <v>790</v>
      </c>
      <c r="D112" s="79" t="s">
        <v>116</v>
      </c>
      <c r="E112" s="86">
        <f t="shared" si="80"/>
        <v>8.4594000000000005</v>
      </c>
      <c r="F112" s="86">
        <f t="shared" si="81"/>
        <v>128.79</v>
      </c>
      <c r="G112" s="86">
        <f t="shared" si="82"/>
        <v>1089.486126</v>
      </c>
      <c r="H112" s="85">
        <f t="shared" si="79"/>
        <v>8.4594000000000005</v>
      </c>
      <c r="I112" s="85">
        <f t="shared" si="54"/>
        <v>128.79</v>
      </c>
      <c r="J112" s="85">
        <f t="shared" si="55"/>
        <v>1089.486126</v>
      </c>
      <c r="K112" s="87">
        <v>0</v>
      </c>
      <c r="L112" s="87">
        <f t="shared" si="56"/>
        <v>128.79</v>
      </c>
      <c r="M112" s="87">
        <f t="shared" si="57"/>
        <v>0</v>
      </c>
      <c r="N112" s="23">
        <f t="shared" si="58"/>
        <v>0</v>
      </c>
      <c r="O112" s="23">
        <f t="shared" si="59"/>
        <v>0</v>
      </c>
      <c r="P112" t="s">
        <v>788</v>
      </c>
      <c r="Q112" t="s">
        <v>789</v>
      </c>
      <c r="R112" s="137" t="s">
        <v>790</v>
      </c>
      <c r="S112" t="s">
        <v>116</v>
      </c>
      <c r="T112">
        <f>(3.195+4.525+3.975+3.745+2.95)*0.46</f>
        <v>8.4594000000000005</v>
      </c>
      <c r="U112">
        <v>128.79</v>
      </c>
      <c r="V112">
        <v>1089.43</v>
      </c>
    </row>
    <row r="113" spans="1:22">
      <c r="A113" s="144" t="s">
        <v>791</v>
      </c>
      <c r="B113" s="145"/>
      <c r="C113" s="146"/>
      <c r="D113" s="81"/>
      <c r="E113" s="88"/>
      <c r="F113" s="88"/>
      <c r="G113" s="88">
        <f>SUM(G106:G112)</f>
        <v>5629.6006510000007</v>
      </c>
      <c r="H113" s="88"/>
      <c r="I113" s="88">
        <f t="shared" si="54"/>
        <v>0</v>
      </c>
      <c r="J113" s="88">
        <f>SUM(J106:J112)</f>
        <v>5629.6006510000007</v>
      </c>
      <c r="K113" s="88"/>
      <c r="L113" s="88">
        <f t="shared" si="56"/>
        <v>0</v>
      </c>
      <c r="M113" s="88">
        <f>SUM(M106:M112)</f>
        <v>0</v>
      </c>
      <c r="N113" s="23">
        <f t="shared" si="58"/>
        <v>0</v>
      </c>
      <c r="O113" s="23">
        <f t="shared" si="59"/>
        <v>0</v>
      </c>
      <c r="P113" t="s">
        <v>791</v>
      </c>
      <c r="R113" s="137" t="s">
        <v>791</v>
      </c>
      <c r="V113">
        <v>5629.64</v>
      </c>
    </row>
    <row r="114" spans="1:22">
      <c r="A114" s="41" t="s">
        <v>792</v>
      </c>
      <c r="B114" s="141" t="s">
        <v>793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3"/>
      <c r="N114" s="23">
        <f t="shared" si="58"/>
        <v>0</v>
      </c>
      <c r="O114" s="23">
        <f t="shared" si="59"/>
        <v>0</v>
      </c>
      <c r="P114" t="s">
        <v>792</v>
      </c>
      <c r="R114" s="137" t="s">
        <v>793</v>
      </c>
    </row>
    <row r="115" spans="1:22">
      <c r="A115" s="40" t="s">
        <v>794</v>
      </c>
      <c r="B115" s="40" t="s">
        <v>770</v>
      </c>
      <c r="C115" s="78" t="s">
        <v>771</v>
      </c>
      <c r="D115" s="79" t="s">
        <v>116</v>
      </c>
      <c r="E115" s="86">
        <f t="shared" ref="E115:E121" si="83">T115</f>
        <v>10.36</v>
      </c>
      <c r="F115" s="86">
        <f t="shared" ref="F115:F121" si="84">U115</f>
        <v>80.98</v>
      </c>
      <c r="G115" s="86">
        <f t="shared" ref="G115:G121" si="85">E115*F115</f>
        <v>838.95280000000002</v>
      </c>
      <c r="H115" s="85">
        <f t="shared" ref="H115:H126" si="86">E115-K115</f>
        <v>10.36</v>
      </c>
      <c r="I115" s="85">
        <f t="shared" si="54"/>
        <v>80.98</v>
      </c>
      <c r="J115" s="85">
        <f t="shared" si="55"/>
        <v>838.95280000000002</v>
      </c>
      <c r="K115" s="87">
        <v>0</v>
      </c>
      <c r="L115" s="87">
        <f t="shared" si="56"/>
        <v>80.98</v>
      </c>
      <c r="M115" s="87">
        <f t="shared" si="57"/>
        <v>0</v>
      </c>
      <c r="N115" s="23">
        <f t="shared" si="58"/>
        <v>0</v>
      </c>
      <c r="O115" s="23">
        <f t="shared" si="59"/>
        <v>0</v>
      </c>
      <c r="P115" t="s">
        <v>794</v>
      </c>
      <c r="Q115" t="s">
        <v>770</v>
      </c>
      <c r="R115" s="137" t="s">
        <v>771</v>
      </c>
      <c r="S115" t="s">
        <v>116</v>
      </c>
      <c r="T115">
        <f>4*(5.09-2.5)</f>
        <v>10.36</v>
      </c>
      <c r="U115">
        <v>80.98</v>
      </c>
      <c r="V115">
        <v>838.95</v>
      </c>
    </row>
    <row r="116" spans="1:22" ht="26.4">
      <c r="A116" s="40" t="s">
        <v>795</v>
      </c>
      <c r="B116" s="40" t="s">
        <v>796</v>
      </c>
      <c r="C116" s="78" t="s">
        <v>797</v>
      </c>
      <c r="D116" s="79" t="s">
        <v>116</v>
      </c>
      <c r="E116" s="86">
        <f t="shared" si="83"/>
        <v>10.36</v>
      </c>
      <c r="F116" s="86">
        <f t="shared" si="84"/>
        <v>8.36</v>
      </c>
      <c r="G116" s="86">
        <f t="shared" si="85"/>
        <v>86.609599999999986</v>
      </c>
      <c r="H116" s="85">
        <f t="shared" si="86"/>
        <v>10.36</v>
      </c>
      <c r="I116" s="85">
        <f t="shared" si="54"/>
        <v>8.36</v>
      </c>
      <c r="J116" s="85">
        <f t="shared" si="55"/>
        <v>86.609599999999986</v>
      </c>
      <c r="K116" s="87">
        <v>0</v>
      </c>
      <c r="L116" s="87">
        <f t="shared" si="56"/>
        <v>8.36</v>
      </c>
      <c r="M116" s="87">
        <f t="shared" si="57"/>
        <v>0</v>
      </c>
      <c r="N116" s="23">
        <f t="shared" si="58"/>
        <v>0</v>
      </c>
      <c r="O116" s="23">
        <f t="shared" si="59"/>
        <v>0</v>
      </c>
      <c r="P116" t="s">
        <v>795</v>
      </c>
      <c r="Q116" t="s">
        <v>796</v>
      </c>
      <c r="R116" s="137" t="s">
        <v>797</v>
      </c>
      <c r="S116" t="s">
        <v>116</v>
      </c>
      <c r="T116">
        <v>10.36</v>
      </c>
      <c r="U116">
        <v>8.36</v>
      </c>
      <c r="V116">
        <v>86.61</v>
      </c>
    </row>
    <row r="117" spans="1:22" ht="26.4">
      <c r="A117" s="40" t="s">
        <v>798</v>
      </c>
      <c r="B117" s="40" t="s">
        <v>773</v>
      </c>
      <c r="C117" s="78" t="s">
        <v>774</v>
      </c>
      <c r="D117" s="79" t="s">
        <v>116</v>
      </c>
      <c r="E117" s="86">
        <f t="shared" si="83"/>
        <v>10.36</v>
      </c>
      <c r="F117" s="86">
        <f t="shared" si="84"/>
        <v>21.37</v>
      </c>
      <c r="G117" s="86">
        <f t="shared" si="85"/>
        <v>221.39320000000001</v>
      </c>
      <c r="H117" s="85">
        <f t="shared" si="86"/>
        <v>10.36</v>
      </c>
      <c r="I117" s="85">
        <f t="shared" si="54"/>
        <v>21.37</v>
      </c>
      <c r="J117" s="85">
        <f t="shared" si="55"/>
        <v>221.39320000000001</v>
      </c>
      <c r="K117" s="87">
        <v>0</v>
      </c>
      <c r="L117" s="87">
        <f t="shared" si="56"/>
        <v>21.37</v>
      </c>
      <c r="M117" s="87">
        <f t="shared" si="57"/>
        <v>0</v>
      </c>
      <c r="N117" s="23">
        <f t="shared" si="58"/>
        <v>0</v>
      </c>
      <c r="O117" s="23">
        <f t="shared" si="59"/>
        <v>0</v>
      </c>
      <c r="P117" t="s">
        <v>798</v>
      </c>
      <c r="Q117" t="s">
        <v>773</v>
      </c>
      <c r="R117" s="137" t="s">
        <v>774</v>
      </c>
      <c r="S117" t="s">
        <v>116</v>
      </c>
      <c r="T117">
        <v>10.36</v>
      </c>
      <c r="U117">
        <v>21.37</v>
      </c>
      <c r="V117">
        <v>221.39</v>
      </c>
    </row>
    <row r="118" spans="1:22">
      <c r="A118" s="40" t="s">
        <v>799</v>
      </c>
      <c r="B118" s="40" t="s">
        <v>800</v>
      </c>
      <c r="C118" s="78" t="s">
        <v>801</v>
      </c>
      <c r="D118" s="79" t="s">
        <v>15</v>
      </c>
      <c r="E118" s="86">
        <f t="shared" si="83"/>
        <v>4</v>
      </c>
      <c r="F118" s="86">
        <f t="shared" si="84"/>
        <v>117.45</v>
      </c>
      <c r="G118" s="86">
        <f t="shared" si="85"/>
        <v>469.8</v>
      </c>
      <c r="H118" s="85">
        <f t="shared" si="86"/>
        <v>4</v>
      </c>
      <c r="I118" s="85">
        <f t="shared" si="54"/>
        <v>117.45</v>
      </c>
      <c r="J118" s="85">
        <f t="shared" si="55"/>
        <v>469.8</v>
      </c>
      <c r="K118" s="87">
        <v>0</v>
      </c>
      <c r="L118" s="87">
        <f t="shared" si="56"/>
        <v>117.45</v>
      </c>
      <c r="M118" s="87">
        <f t="shared" si="57"/>
        <v>0</v>
      </c>
      <c r="N118" s="23">
        <f t="shared" si="58"/>
        <v>0</v>
      </c>
      <c r="O118" s="23">
        <f t="shared" si="59"/>
        <v>0</v>
      </c>
      <c r="P118" t="s">
        <v>799</v>
      </c>
      <c r="Q118" t="s">
        <v>800</v>
      </c>
      <c r="R118" s="137" t="s">
        <v>801</v>
      </c>
      <c r="S118" t="s">
        <v>15</v>
      </c>
      <c r="T118">
        <v>4</v>
      </c>
      <c r="U118">
        <v>117.45</v>
      </c>
      <c r="V118">
        <v>469.8</v>
      </c>
    </row>
    <row r="119" spans="1:22">
      <c r="A119" s="40" t="s">
        <v>802</v>
      </c>
      <c r="B119" s="40" t="s">
        <v>803</v>
      </c>
      <c r="C119" s="78" t="s">
        <v>804</v>
      </c>
      <c r="D119" s="79" t="s">
        <v>116</v>
      </c>
      <c r="E119" s="86">
        <f t="shared" si="83"/>
        <v>2.6</v>
      </c>
      <c r="F119" s="86">
        <f t="shared" si="84"/>
        <v>22.91</v>
      </c>
      <c r="G119" s="86">
        <f t="shared" si="85"/>
        <v>59.566000000000003</v>
      </c>
      <c r="H119" s="85">
        <f t="shared" si="86"/>
        <v>2.6</v>
      </c>
      <c r="I119" s="85">
        <f t="shared" si="54"/>
        <v>22.91</v>
      </c>
      <c r="J119" s="85">
        <f t="shared" si="55"/>
        <v>59.566000000000003</v>
      </c>
      <c r="K119" s="87">
        <v>0</v>
      </c>
      <c r="L119" s="87">
        <f t="shared" si="56"/>
        <v>22.91</v>
      </c>
      <c r="M119" s="87">
        <f t="shared" si="57"/>
        <v>0</v>
      </c>
      <c r="N119" s="23">
        <f t="shared" si="58"/>
        <v>0</v>
      </c>
      <c r="O119" s="23">
        <f t="shared" si="59"/>
        <v>0</v>
      </c>
      <c r="P119" t="s">
        <v>802</v>
      </c>
      <c r="Q119" t="s">
        <v>803</v>
      </c>
      <c r="R119" s="137" t="s">
        <v>804</v>
      </c>
      <c r="S119" t="s">
        <v>116</v>
      </c>
      <c r="T119">
        <f>0.65*4</f>
        <v>2.6</v>
      </c>
      <c r="U119">
        <v>22.91</v>
      </c>
      <c r="V119">
        <v>59.57</v>
      </c>
    </row>
    <row r="120" spans="1:22">
      <c r="A120" s="40" t="s">
        <v>805</v>
      </c>
      <c r="B120" s="40" t="s">
        <v>806</v>
      </c>
      <c r="C120" s="78" t="s">
        <v>807</v>
      </c>
      <c r="D120" s="79" t="s">
        <v>116</v>
      </c>
      <c r="E120" s="86">
        <f t="shared" si="83"/>
        <v>20.36</v>
      </c>
      <c r="F120" s="86">
        <f t="shared" si="84"/>
        <v>21.77</v>
      </c>
      <c r="G120" s="86">
        <f t="shared" si="85"/>
        <v>443.23719999999997</v>
      </c>
      <c r="H120" s="85">
        <f t="shared" si="86"/>
        <v>20.36</v>
      </c>
      <c r="I120" s="85">
        <f t="shared" si="54"/>
        <v>21.77</v>
      </c>
      <c r="J120" s="85">
        <f t="shared" si="55"/>
        <v>443.23719999999997</v>
      </c>
      <c r="K120" s="87">
        <v>0</v>
      </c>
      <c r="L120" s="87">
        <f t="shared" si="56"/>
        <v>21.77</v>
      </c>
      <c r="M120" s="87">
        <f t="shared" si="57"/>
        <v>0</v>
      </c>
      <c r="N120" s="23">
        <f t="shared" si="58"/>
        <v>0</v>
      </c>
      <c r="O120" s="23">
        <f t="shared" si="59"/>
        <v>0</v>
      </c>
      <c r="P120" t="s">
        <v>805</v>
      </c>
      <c r="Q120" t="s">
        <v>806</v>
      </c>
      <c r="R120" s="137" t="s">
        <v>807</v>
      </c>
      <c r="S120" t="s">
        <v>116</v>
      </c>
      <c r="T120">
        <f>4*5.09</f>
        <v>20.36</v>
      </c>
      <c r="U120">
        <v>21.77</v>
      </c>
      <c r="V120">
        <v>443.24</v>
      </c>
    </row>
    <row r="121" spans="1:22">
      <c r="A121" s="40" t="s">
        <v>808</v>
      </c>
      <c r="B121" s="40" t="s">
        <v>809</v>
      </c>
      <c r="C121" s="78" t="s">
        <v>810</v>
      </c>
      <c r="D121" s="79" t="s">
        <v>268</v>
      </c>
      <c r="E121" s="86">
        <f t="shared" si="83"/>
        <v>0.02</v>
      </c>
      <c r="F121" s="86">
        <f t="shared" si="84"/>
        <v>13365.12</v>
      </c>
      <c r="G121" s="86">
        <f t="shared" si="85"/>
        <v>267.30240000000003</v>
      </c>
      <c r="H121" s="85">
        <f t="shared" si="86"/>
        <v>0.02</v>
      </c>
      <c r="I121" s="85">
        <f t="shared" si="54"/>
        <v>13365.12</v>
      </c>
      <c r="J121" s="85">
        <f t="shared" si="55"/>
        <v>267.30240000000003</v>
      </c>
      <c r="K121" s="87">
        <v>0</v>
      </c>
      <c r="L121" s="87">
        <f t="shared" si="56"/>
        <v>13365.12</v>
      </c>
      <c r="M121" s="87">
        <f t="shared" si="57"/>
        <v>0</v>
      </c>
      <c r="N121" s="23">
        <f t="shared" si="58"/>
        <v>0</v>
      </c>
      <c r="O121" s="23">
        <f t="shared" si="59"/>
        <v>0</v>
      </c>
      <c r="P121" t="s">
        <v>808</v>
      </c>
      <c r="Q121" t="s">
        <v>809</v>
      </c>
      <c r="R121" s="137" t="s">
        <v>810</v>
      </c>
      <c r="S121" t="s">
        <v>268</v>
      </c>
      <c r="T121">
        <v>0.02</v>
      </c>
      <c r="U121">
        <v>13365.12</v>
      </c>
      <c r="V121">
        <v>267.3</v>
      </c>
    </row>
    <row r="122" spans="1:22" ht="26.4">
      <c r="A122" s="40" t="s">
        <v>811</v>
      </c>
      <c r="B122" s="40" t="s">
        <v>812</v>
      </c>
      <c r="C122" s="78" t="s">
        <v>813</v>
      </c>
      <c r="D122" s="79" t="s">
        <v>10</v>
      </c>
      <c r="E122" s="86">
        <f t="shared" ref="E122:E126" si="87">T122</f>
        <v>2</v>
      </c>
      <c r="F122" s="86">
        <f t="shared" ref="F122:F126" si="88">U122</f>
        <v>5.5</v>
      </c>
      <c r="G122" s="86">
        <f t="shared" ref="G122:G126" si="89">E122*F122</f>
        <v>11</v>
      </c>
      <c r="H122" s="85">
        <f t="shared" si="86"/>
        <v>2</v>
      </c>
      <c r="I122" s="85">
        <f t="shared" si="54"/>
        <v>5.5</v>
      </c>
      <c r="J122" s="85">
        <f t="shared" si="55"/>
        <v>11</v>
      </c>
      <c r="K122" s="87">
        <v>0</v>
      </c>
      <c r="L122" s="87">
        <f t="shared" si="56"/>
        <v>5.5</v>
      </c>
      <c r="M122" s="87">
        <f t="shared" si="57"/>
        <v>0</v>
      </c>
      <c r="N122" s="23">
        <f t="shared" si="58"/>
        <v>0</v>
      </c>
      <c r="O122" s="23">
        <f t="shared" si="59"/>
        <v>0</v>
      </c>
      <c r="P122" t="s">
        <v>811</v>
      </c>
      <c r="Q122" t="s">
        <v>812</v>
      </c>
      <c r="R122" s="137" t="s">
        <v>813</v>
      </c>
      <c r="S122" t="s">
        <v>10</v>
      </c>
      <c r="T122">
        <v>2</v>
      </c>
      <c r="U122">
        <v>5.5</v>
      </c>
      <c r="V122">
        <v>11</v>
      </c>
    </row>
    <row r="123" spans="1:22">
      <c r="A123" s="40" t="s">
        <v>814</v>
      </c>
      <c r="B123" s="40" t="s">
        <v>815</v>
      </c>
      <c r="C123" s="78" t="s">
        <v>816</v>
      </c>
      <c r="D123" s="79" t="s">
        <v>817</v>
      </c>
      <c r="E123" s="86">
        <f t="shared" si="87"/>
        <v>1.8</v>
      </c>
      <c r="F123" s="86">
        <f t="shared" si="88"/>
        <v>45.02</v>
      </c>
      <c r="G123" s="86">
        <f t="shared" si="89"/>
        <v>81.036000000000001</v>
      </c>
      <c r="H123" s="85">
        <f t="shared" si="86"/>
        <v>1.8</v>
      </c>
      <c r="I123" s="85">
        <f t="shared" si="54"/>
        <v>45.02</v>
      </c>
      <c r="J123" s="85">
        <f t="shared" si="55"/>
        <v>81.036000000000001</v>
      </c>
      <c r="K123" s="87">
        <v>0</v>
      </c>
      <c r="L123" s="87">
        <f t="shared" si="56"/>
        <v>45.02</v>
      </c>
      <c r="M123" s="87">
        <f t="shared" si="57"/>
        <v>0</v>
      </c>
      <c r="N123" s="23">
        <f t="shared" si="58"/>
        <v>0</v>
      </c>
      <c r="O123" s="23">
        <f t="shared" si="59"/>
        <v>0</v>
      </c>
      <c r="P123" t="s">
        <v>814</v>
      </c>
      <c r="Q123" t="s">
        <v>815</v>
      </c>
      <c r="R123" s="137" t="s">
        <v>816</v>
      </c>
      <c r="S123" t="s">
        <v>817</v>
      </c>
      <c r="T123">
        <f>0.45*2*2</f>
        <v>1.8</v>
      </c>
      <c r="U123">
        <v>45.02</v>
      </c>
      <c r="V123">
        <v>81.040000000000006</v>
      </c>
    </row>
    <row r="124" spans="1:22" ht="26.4">
      <c r="A124" s="40" t="s">
        <v>818</v>
      </c>
      <c r="B124" s="40" t="s">
        <v>819</v>
      </c>
      <c r="C124" s="78" t="s">
        <v>820</v>
      </c>
      <c r="D124" s="79" t="s">
        <v>10</v>
      </c>
      <c r="E124" s="86">
        <f t="shared" si="87"/>
        <v>2</v>
      </c>
      <c r="F124" s="86">
        <f t="shared" si="88"/>
        <v>58.34</v>
      </c>
      <c r="G124" s="86">
        <f t="shared" si="89"/>
        <v>116.68</v>
      </c>
      <c r="H124" s="85">
        <f t="shared" si="86"/>
        <v>2</v>
      </c>
      <c r="I124" s="85">
        <f t="shared" si="54"/>
        <v>58.34</v>
      </c>
      <c r="J124" s="85">
        <f t="shared" si="55"/>
        <v>116.68</v>
      </c>
      <c r="K124" s="87">
        <v>0</v>
      </c>
      <c r="L124" s="87">
        <f t="shared" si="56"/>
        <v>58.34</v>
      </c>
      <c r="M124" s="87">
        <f t="shared" si="57"/>
        <v>0</v>
      </c>
      <c r="N124" s="23">
        <f t="shared" si="58"/>
        <v>0</v>
      </c>
      <c r="O124" s="23">
        <f t="shared" si="59"/>
        <v>0</v>
      </c>
      <c r="P124" t="s">
        <v>818</v>
      </c>
      <c r="Q124" t="s">
        <v>819</v>
      </c>
      <c r="R124" s="137" t="s">
        <v>820</v>
      </c>
      <c r="S124" t="s">
        <v>10</v>
      </c>
      <c r="T124">
        <v>2</v>
      </c>
      <c r="U124">
        <v>58.34</v>
      </c>
      <c r="V124">
        <v>116.68</v>
      </c>
    </row>
    <row r="125" spans="1:22" ht="26.4">
      <c r="A125" s="40" t="s">
        <v>821</v>
      </c>
      <c r="B125" s="40" t="s">
        <v>779</v>
      </c>
      <c r="C125" s="78" t="s">
        <v>822</v>
      </c>
      <c r="D125" s="79" t="s">
        <v>15</v>
      </c>
      <c r="E125" s="86">
        <f t="shared" si="87"/>
        <v>8</v>
      </c>
      <c r="F125" s="86">
        <f t="shared" si="88"/>
        <v>33.630000000000003</v>
      </c>
      <c r="G125" s="86">
        <f t="shared" si="89"/>
        <v>269.04000000000002</v>
      </c>
      <c r="H125" s="85">
        <f t="shared" si="86"/>
        <v>8</v>
      </c>
      <c r="I125" s="85">
        <f t="shared" si="54"/>
        <v>33.630000000000003</v>
      </c>
      <c r="J125" s="85">
        <f t="shared" si="55"/>
        <v>269.04000000000002</v>
      </c>
      <c r="K125" s="87">
        <v>0</v>
      </c>
      <c r="L125" s="87">
        <f t="shared" si="56"/>
        <v>33.630000000000003</v>
      </c>
      <c r="M125" s="87">
        <f t="shared" si="57"/>
        <v>0</v>
      </c>
      <c r="N125" s="23">
        <f t="shared" si="58"/>
        <v>0</v>
      </c>
      <c r="O125" s="23">
        <f t="shared" si="59"/>
        <v>0</v>
      </c>
      <c r="P125" t="s">
        <v>821</v>
      </c>
      <c r="Q125" t="s">
        <v>779</v>
      </c>
      <c r="R125" s="137" t="s">
        <v>822</v>
      </c>
      <c r="S125" t="s">
        <v>15</v>
      </c>
      <c r="T125">
        <f>4*2</f>
        <v>8</v>
      </c>
      <c r="U125">
        <v>33.630000000000003</v>
      </c>
      <c r="V125">
        <v>269.04000000000002</v>
      </c>
    </row>
    <row r="126" spans="1:22">
      <c r="A126" s="40" t="s">
        <v>823</v>
      </c>
      <c r="B126" s="40" t="s">
        <v>824</v>
      </c>
      <c r="C126" s="78" t="s">
        <v>825</v>
      </c>
      <c r="D126" s="79" t="s">
        <v>116</v>
      </c>
      <c r="E126" s="86">
        <f t="shared" si="87"/>
        <v>0.96</v>
      </c>
      <c r="F126" s="86">
        <f t="shared" si="88"/>
        <v>27.72</v>
      </c>
      <c r="G126" s="86">
        <f t="shared" si="89"/>
        <v>26.611199999999997</v>
      </c>
      <c r="H126" s="85">
        <f t="shared" si="86"/>
        <v>0.96</v>
      </c>
      <c r="I126" s="85">
        <f t="shared" si="54"/>
        <v>27.72</v>
      </c>
      <c r="J126" s="85">
        <f t="shared" si="55"/>
        <v>26.611199999999997</v>
      </c>
      <c r="K126" s="87">
        <v>0</v>
      </c>
      <c r="L126" s="87">
        <f t="shared" si="56"/>
        <v>27.72</v>
      </c>
      <c r="M126" s="87">
        <f t="shared" si="57"/>
        <v>0</v>
      </c>
      <c r="N126" s="23">
        <f t="shared" si="58"/>
        <v>0</v>
      </c>
      <c r="O126" s="23">
        <f t="shared" si="59"/>
        <v>0</v>
      </c>
      <c r="P126" t="s">
        <v>823</v>
      </c>
      <c r="Q126" t="s">
        <v>824</v>
      </c>
      <c r="R126" s="137" t="s">
        <v>825</v>
      </c>
      <c r="S126" t="s">
        <v>116</v>
      </c>
      <c r="T126">
        <f>4*0.24</f>
        <v>0.96</v>
      </c>
      <c r="U126">
        <v>27.72</v>
      </c>
      <c r="V126">
        <v>26.61</v>
      </c>
    </row>
    <row r="127" spans="1:22">
      <c r="A127" s="147" t="s">
        <v>826</v>
      </c>
      <c r="B127" s="148"/>
      <c r="C127" s="149"/>
      <c r="D127" s="81"/>
      <c r="E127" s="88"/>
      <c r="F127" s="88"/>
      <c r="G127" s="88">
        <f>SUM(G115:G126)</f>
        <v>2891.2283999999995</v>
      </c>
      <c r="H127" s="88"/>
      <c r="I127" s="88">
        <f t="shared" si="54"/>
        <v>0</v>
      </c>
      <c r="J127" s="88">
        <f>SUM(J115:J126)</f>
        <v>2891.2283999999995</v>
      </c>
      <c r="K127" s="88"/>
      <c r="L127" s="88">
        <f t="shared" si="56"/>
        <v>0</v>
      </c>
      <c r="M127" s="88">
        <f>SUM(M115:M126)</f>
        <v>0</v>
      </c>
      <c r="N127" s="23">
        <f t="shared" si="58"/>
        <v>0</v>
      </c>
      <c r="O127" s="23">
        <f t="shared" si="59"/>
        <v>0</v>
      </c>
      <c r="P127" t="s">
        <v>826</v>
      </c>
      <c r="R127" s="137" t="s">
        <v>826</v>
      </c>
      <c r="V127">
        <v>2891.23</v>
      </c>
    </row>
    <row r="128" spans="1:22">
      <c r="A128" s="41" t="s">
        <v>827</v>
      </c>
      <c r="B128" s="141" t="s">
        <v>828</v>
      </c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3"/>
      <c r="N128" s="23">
        <f t="shared" si="58"/>
        <v>0</v>
      </c>
      <c r="O128" s="23">
        <f t="shared" si="59"/>
        <v>0</v>
      </c>
      <c r="P128" t="s">
        <v>827</v>
      </c>
      <c r="R128" s="137" t="s">
        <v>828</v>
      </c>
    </row>
    <row r="129" spans="1:22">
      <c r="A129" s="40" t="s">
        <v>829</v>
      </c>
      <c r="B129" s="40" t="s">
        <v>770</v>
      </c>
      <c r="C129" s="78" t="s">
        <v>771</v>
      </c>
      <c r="D129" s="79" t="s">
        <v>116</v>
      </c>
      <c r="E129" s="86">
        <f t="shared" ref="E129:E130" si="90">T129</f>
        <v>17.7895</v>
      </c>
      <c r="F129" s="86">
        <f t="shared" ref="F129:F130" si="91">U129</f>
        <v>80.98</v>
      </c>
      <c r="G129" s="86">
        <f t="shared" ref="G129:G130" si="92">E129*F129</f>
        <v>1440.5937100000001</v>
      </c>
      <c r="H129" s="85">
        <f t="shared" ref="H129:H140" si="93">E129-K129</f>
        <v>17.7895</v>
      </c>
      <c r="I129" s="85">
        <f t="shared" si="54"/>
        <v>80.98</v>
      </c>
      <c r="J129" s="85">
        <f t="shared" si="55"/>
        <v>1440.5937100000001</v>
      </c>
      <c r="K129" s="87">
        <v>0</v>
      </c>
      <c r="L129" s="87">
        <f t="shared" si="56"/>
        <v>80.98</v>
      </c>
      <c r="M129" s="87">
        <f t="shared" si="57"/>
        <v>0</v>
      </c>
      <c r="N129" s="23">
        <f t="shared" si="58"/>
        <v>0</v>
      </c>
      <c r="O129" s="23">
        <f t="shared" si="59"/>
        <v>0</v>
      </c>
      <c r="P129" t="s">
        <v>829</v>
      </c>
      <c r="Q129" t="s">
        <v>770</v>
      </c>
      <c r="R129" s="137" t="s">
        <v>771</v>
      </c>
      <c r="S129" t="s">
        <v>116</v>
      </c>
      <c r="T129">
        <f>(4.61+2.96)*2.35</f>
        <v>17.7895</v>
      </c>
      <c r="U129">
        <v>80.98</v>
      </c>
      <c r="V129">
        <v>1440.63</v>
      </c>
    </row>
    <row r="130" spans="1:22" ht="26.4">
      <c r="A130" s="40" t="s">
        <v>830</v>
      </c>
      <c r="B130" s="40" t="s">
        <v>796</v>
      </c>
      <c r="C130" s="78" t="s">
        <v>797</v>
      </c>
      <c r="D130" s="79" t="s">
        <v>116</v>
      </c>
      <c r="E130" s="86">
        <f t="shared" si="90"/>
        <v>17.79</v>
      </c>
      <c r="F130" s="86">
        <f t="shared" si="91"/>
        <v>8.36</v>
      </c>
      <c r="G130" s="86">
        <f t="shared" si="92"/>
        <v>148.72439999999997</v>
      </c>
      <c r="H130" s="85">
        <f t="shared" si="93"/>
        <v>17.79</v>
      </c>
      <c r="I130" s="85">
        <f t="shared" si="54"/>
        <v>8.36</v>
      </c>
      <c r="J130" s="85">
        <f t="shared" si="55"/>
        <v>148.72439999999997</v>
      </c>
      <c r="K130" s="87">
        <v>0</v>
      </c>
      <c r="L130" s="87">
        <f t="shared" si="56"/>
        <v>8.36</v>
      </c>
      <c r="M130" s="87">
        <f t="shared" si="57"/>
        <v>0</v>
      </c>
      <c r="N130" s="23">
        <f t="shared" si="58"/>
        <v>0</v>
      </c>
      <c r="O130" s="23">
        <f t="shared" si="59"/>
        <v>0</v>
      </c>
      <c r="P130" t="s">
        <v>830</v>
      </c>
      <c r="Q130" t="s">
        <v>796</v>
      </c>
      <c r="R130" s="137" t="s">
        <v>797</v>
      </c>
      <c r="S130" t="s">
        <v>116</v>
      </c>
      <c r="T130">
        <v>17.79</v>
      </c>
      <c r="U130">
        <v>8.36</v>
      </c>
      <c r="V130">
        <v>148.72</v>
      </c>
    </row>
    <row r="131" spans="1:22" ht="26.4">
      <c r="A131" s="40" t="s">
        <v>831</v>
      </c>
      <c r="B131" s="40" t="s">
        <v>773</v>
      </c>
      <c r="C131" s="78" t="s">
        <v>774</v>
      </c>
      <c r="D131" s="79" t="s">
        <v>116</v>
      </c>
      <c r="E131" s="86">
        <f t="shared" ref="E131:E140" si="94">T131</f>
        <v>17.79</v>
      </c>
      <c r="F131" s="86">
        <f t="shared" ref="F131:F140" si="95">U131</f>
        <v>21.37</v>
      </c>
      <c r="G131" s="86">
        <f t="shared" ref="G131:G140" si="96">E131*F131</f>
        <v>380.17230000000001</v>
      </c>
      <c r="H131" s="85">
        <f t="shared" si="93"/>
        <v>17.79</v>
      </c>
      <c r="I131" s="85">
        <f t="shared" si="54"/>
        <v>21.37</v>
      </c>
      <c r="J131" s="85">
        <f t="shared" si="55"/>
        <v>380.17230000000001</v>
      </c>
      <c r="K131" s="87">
        <v>0</v>
      </c>
      <c r="L131" s="87">
        <f t="shared" si="56"/>
        <v>21.37</v>
      </c>
      <c r="M131" s="87">
        <f t="shared" si="57"/>
        <v>0</v>
      </c>
      <c r="N131" s="23">
        <f t="shared" si="58"/>
        <v>0</v>
      </c>
      <c r="O131" s="23">
        <f t="shared" si="59"/>
        <v>0</v>
      </c>
      <c r="P131" t="s">
        <v>831</v>
      </c>
      <c r="Q131" t="s">
        <v>773</v>
      </c>
      <c r="R131" s="137" t="s">
        <v>774</v>
      </c>
      <c r="S131" t="s">
        <v>116</v>
      </c>
      <c r="T131">
        <v>17.79</v>
      </c>
      <c r="U131">
        <v>21.37</v>
      </c>
      <c r="V131">
        <v>380.17</v>
      </c>
    </row>
    <row r="132" spans="1:22">
      <c r="A132" s="40" t="s">
        <v>832</v>
      </c>
      <c r="B132" s="40" t="s">
        <v>800</v>
      </c>
      <c r="C132" s="78" t="s">
        <v>801</v>
      </c>
      <c r="D132" s="79" t="s">
        <v>15</v>
      </c>
      <c r="E132" s="86">
        <f t="shared" si="94"/>
        <v>6.95</v>
      </c>
      <c r="F132" s="86">
        <f t="shared" si="95"/>
        <v>117.45</v>
      </c>
      <c r="G132" s="86">
        <f t="shared" si="96"/>
        <v>816.27750000000003</v>
      </c>
      <c r="H132" s="85">
        <f t="shared" si="93"/>
        <v>6.95</v>
      </c>
      <c r="I132" s="85">
        <f t="shared" si="54"/>
        <v>117.45</v>
      </c>
      <c r="J132" s="85">
        <f t="shared" si="55"/>
        <v>816.27750000000003</v>
      </c>
      <c r="K132" s="87">
        <v>0</v>
      </c>
      <c r="L132" s="87">
        <f t="shared" si="56"/>
        <v>117.45</v>
      </c>
      <c r="M132" s="87">
        <f t="shared" si="57"/>
        <v>0</v>
      </c>
      <c r="N132" s="23">
        <f t="shared" si="58"/>
        <v>0</v>
      </c>
      <c r="O132" s="23">
        <f t="shared" si="59"/>
        <v>0</v>
      </c>
      <c r="P132" t="s">
        <v>832</v>
      </c>
      <c r="Q132" t="s">
        <v>800</v>
      </c>
      <c r="R132" s="137" t="s">
        <v>801</v>
      </c>
      <c r="S132" t="s">
        <v>15</v>
      </c>
      <c r="T132">
        <f>4+2.95</f>
        <v>6.95</v>
      </c>
      <c r="U132">
        <v>117.45</v>
      </c>
      <c r="V132">
        <v>816.28</v>
      </c>
    </row>
    <row r="133" spans="1:22">
      <c r="A133" s="40" t="s">
        <v>833</v>
      </c>
      <c r="B133" s="40" t="s">
        <v>803</v>
      </c>
      <c r="C133" s="78" t="s">
        <v>804</v>
      </c>
      <c r="D133" s="79" t="s">
        <v>116</v>
      </c>
      <c r="E133" s="86">
        <f t="shared" si="94"/>
        <v>4.5175000000000001</v>
      </c>
      <c r="F133" s="86">
        <f t="shared" si="95"/>
        <v>22.91</v>
      </c>
      <c r="G133" s="86">
        <f t="shared" si="96"/>
        <v>103.495925</v>
      </c>
      <c r="H133" s="85">
        <f t="shared" si="93"/>
        <v>4.5175000000000001</v>
      </c>
      <c r="I133" s="85">
        <f t="shared" si="54"/>
        <v>22.91</v>
      </c>
      <c r="J133" s="85">
        <f t="shared" si="55"/>
        <v>103.495925</v>
      </c>
      <c r="K133" s="87">
        <v>0</v>
      </c>
      <c r="L133" s="87">
        <f t="shared" si="56"/>
        <v>22.91</v>
      </c>
      <c r="M133" s="87">
        <f t="shared" si="57"/>
        <v>0</v>
      </c>
      <c r="N133" s="23">
        <f t="shared" si="58"/>
        <v>0</v>
      </c>
      <c r="O133" s="23">
        <f t="shared" si="59"/>
        <v>0</v>
      </c>
      <c r="P133" t="s">
        <v>833</v>
      </c>
      <c r="Q133" t="s">
        <v>803</v>
      </c>
      <c r="R133" s="137" t="s">
        <v>804</v>
      </c>
      <c r="S133" t="s">
        <v>116</v>
      </c>
      <c r="T133">
        <f>0.65*(4+2.95)</f>
        <v>4.5175000000000001</v>
      </c>
      <c r="U133">
        <v>22.91</v>
      </c>
      <c r="V133">
        <v>103.51</v>
      </c>
    </row>
    <row r="134" spans="1:22">
      <c r="A134" s="40" t="s">
        <v>834</v>
      </c>
      <c r="B134" s="40" t="s">
        <v>806</v>
      </c>
      <c r="C134" s="78" t="s">
        <v>807</v>
      </c>
      <c r="D134" s="79" t="s">
        <v>116</v>
      </c>
      <c r="E134" s="86">
        <f t="shared" si="94"/>
        <v>37.622900000000001</v>
      </c>
      <c r="F134" s="86">
        <f t="shared" si="95"/>
        <v>21.77</v>
      </c>
      <c r="G134" s="86">
        <f t="shared" si="96"/>
        <v>819.05053299999997</v>
      </c>
      <c r="H134" s="85">
        <f t="shared" si="93"/>
        <v>37.622900000000001</v>
      </c>
      <c r="I134" s="85">
        <f t="shared" si="54"/>
        <v>21.77</v>
      </c>
      <c r="J134" s="85">
        <f t="shared" si="55"/>
        <v>819.05053299999997</v>
      </c>
      <c r="K134" s="87">
        <v>0</v>
      </c>
      <c r="L134" s="87">
        <f t="shared" si="56"/>
        <v>21.77</v>
      </c>
      <c r="M134" s="87">
        <f t="shared" si="57"/>
        <v>0</v>
      </c>
      <c r="N134" s="23">
        <f t="shared" si="58"/>
        <v>0</v>
      </c>
      <c r="O134" s="23">
        <f t="shared" si="59"/>
        <v>0</v>
      </c>
      <c r="P134" t="s">
        <v>834</v>
      </c>
      <c r="Q134" t="s">
        <v>806</v>
      </c>
      <c r="R134" s="137" t="s">
        <v>807</v>
      </c>
      <c r="S134" t="s">
        <v>116</v>
      </c>
      <c r="T134">
        <f>(4.61+2.96)*4.97</f>
        <v>37.622900000000001</v>
      </c>
      <c r="U134">
        <v>21.77</v>
      </c>
      <c r="V134">
        <v>819.05</v>
      </c>
    </row>
    <row r="135" spans="1:22">
      <c r="A135" s="40" t="s">
        <v>835</v>
      </c>
      <c r="B135" s="40" t="s">
        <v>809</v>
      </c>
      <c r="C135" s="78" t="s">
        <v>810</v>
      </c>
      <c r="D135" s="79" t="s">
        <v>268</v>
      </c>
      <c r="E135" s="86">
        <f t="shared" si="94"/>
        <v>0.04</v>
      </c>
      <c r="F135" s="86">
        <f t="shared" si="95"/>
        <v>13365.12</v>
      </c>
      <c r="G135" s="86">
        <f t="shared" si="96"/>
        <v>534.60480000000007</v>
      </c>
      <c r="H135" s="85">
        <f t="shared" si="93"/>
        <v>0.04</v>
      </c>
      <c r="I135" s="85">
        <f t="shared" si="54"/>
        <v>13365.12</v>
      </c>
      <c r="J135" s="85">
        <f t="shared" si="55"/>
        <v>534.60480000000007</v>
      </c>
      <c r="K135" s="87">
        <v>0</v>
      </c>
      <c r="L135" s="87">
        <f t="shared" si="56"/>
        <v>13365.12</v>
      </c>
      <c r="M135" s="87">
        <f t="shared" si="57"/>
        <v>0</v>
      </c>
      <c r="N135" s="23">
        <f t="shared" si="58"/>
        <v>0</v>
      </c>
      <c r="O135" s="23">
        <f t="shared" si="59"/>
        <v>0</v>
      </c>
      <c r="P135" t="s">
        <v>835</v>
      </c>
      <c r="Q135" t="s">
        <v>809</v>
      </c>
      <c r="R135" s="137" t="s">
        <v>810</v>
      </c>
      <c r="S135" t="s">
        <v>268</v>
      </c>
      <c r="T135">
        <f>0.02*2</f>
        <v>0.04</v>
      </c>
      <c r="U135">
        <v>13365.12</v>
      </c>
      <c r="V135">
        <v>534.6</v>
      </c>
    </row>
    <row r="136" spans="1:22" ht="26.4">
      <c r="A136" s="40" t="s">
        <v>836</v>
      </c>
      <c r="B136" s="40" t="s">
        <v>812</v>
      </c>
      <c r="C136" s="78" t="s">
        <v>813</v>
      </c>
      <c r="D136" s="79" t="s">
        <v>10</v>
      </c>
      <c r="E136" s="86">
        <f t="shared" si="94"/>
        <v>4</v>
      </c>
      <c r="F136" s="86">
        <f t="shared" si="95"/>
        <v>5.5</v>
      </c>
      <c r="G136" s="86">
        <f t="shared" si="96"/>
        <v>22</v>
      </c>
      <c r="H136" s="85">
        <f t="shared" si="93"/>
        <v>4</v>
      </c>
      <c r="I136" s="85">
        <f t="shared" si="54"/>
        <v>5.5</v>
      </c>
      <c r="J136" s="85">
        <f t="shared" si="55"/>
        <v>22</v>
      </c>
      <c r="K136" s="87">
        <v>0</v>
      </c>
      <c r="L136" s="87">
        <f t="shared" si="56"/>
        <v>5.5</v>
      </c>
      <c r="M136" s="87">
        <f t="shared" si="57"/>
        <v>0</v>
      </c>
      <c r="N136" s="23">
        <f t="shared" si="58"/>
        <v>0</v>
      </c>
      <c r="O136" s="23">
        <f t="shared" si="59"/>
        <v>0</v>
      </c>
      <c r="P136" t="s">
        <v>836</v>
      </c>
      <c r="Q136" t="s">
        <v>812</v>
      </c>
      <c r="R136" s="137" t="s">
        <v>813</v>
      </c>
      <c r="S136" t="s">
        <v>10</v>
      </c>
      <c r="T136">
        <f>2*2</f>
        <v>4</v>
      </c>
      <c r="U136">
        <v>5.5</v>
      </c>
      <c r="V136">
        <v>22</v>
      </c>
    </row>
    <row r="137" spans="1:22">
      <c r="A137" s="40" t="s">
        <v>837</v>
      </c>
      <c r="B137" s="40" t="s">
        <v>815</v>
      </c>
      <c r="C137" s="78" t="s">
        <v>816</v>
      </c>
      <c r="D137" s="79" t="s">
        <v>817</v>
      </c>
      <c r="E137" s="86">
        <f t="shared" si="94"/>
        <v>3.6</v>
      </c>
      <c r="F137" s="86">
        <f t="shared" si="95"/>
        <v>45.02</v>
      </c>
      <c r="G137" s="86">
        <f t="shared" si="96"/>
        <v>162.072</v>
      </c>
      <c r="H137" s="85">
        <f t="shared" si="93"/>
        <v>3.6</v>
      </c>
      <c r="I137" s="85">
        <f t="shared" ref="I137:I142" si="97">F137</f>
        <v>45.02</v>
      </c>
      <c r="J137" s="85">
        <f t="shared" ref="J137:J140" si="98">H137*I137</f>
        <v>162.072</v>
      </c>
      <c r="K137" s="87">
        <v>0</v>
      </c>
      <c r="L137" s="87">
        <f t="shared" ref="L137:L142" si="99">I137</f>
        <v>45.02</v>
      </c>
      <c r="M137" s="87">
        <f t="shared" ref="M137:M140" si="100">K137*L137</f>
        <v>0</v>
      </c>
      <c r="N137" s="23">
        <f t="shared" ref="N137:N142" si="101">E137-H137-K137</f>
        <v>0</v>
      </c>
      <c r="O137" s="23">
        <f t="shared" ref="O137:O144" si="102">G137-J137-M137</f>
        <v>0</v>
      </c>
      <c r="P137" t="s">
        <v>837</v>
      </c>
      <c r="Q137" t="s">
        <v>815</v>
      </c>
      <c r="R137" s="137" t="s">
        <v>816</v>
      </c>
      <c r="S137" t="s">
        <v>817</v>
      </c>
      <c r="T137">
        <f>0.45*2*2*2</f>
        <v>3.6</v>
      </c>
      <c r="U137">
        <v>45.02</v>
      </c>
      <c r="V137">
        <v>162.07</v>
      </c>
    </row>
    <row r="138" spans="1:22" ht="26.4">
      <c r="A138" s="40" t="s">
        <v>838</v>
      </c>
      <c r="B138" s="40" t="s">
        <v>819</v>
      </c>
      <c r="C138" s="78" t="s">
        <v>820</v>
      </c>
      <c r="D138" s="79" t="s">
        <v>10</v>
      </c>
      <c r="E138" s="86">
        <f t="shared" si="94"/>
        <v>4</v>
      </c>
      <c r="F138" s="86">
        <f t="shared" si="95"/>
        <v>58.34</v>
      </c>
      <c r="G138" s="86">
        <f t="shared" si="96"/>
        <v>233.36</v>
      </c>
      <c r="H138" s="85">
        <f t="shared" si="93"/>
        <v>4</v>
      </c>
      <c r="I138" s="85">
        <f t="shared" si="97"/>
        <v>58.34</v>
      </c>
      <c r="J138" s="85">
        <f t="shared" si="98"/>
        <v>233.36</v>
      </c>
      <c r="K138" s="87">
        <v>0</v>
      </c>
      <c r="L138" s="87">
        <f t="shared" si="99"/>
        <v>58.34</v>
      </c>
      <c r="M138" s="87">
        <f t="shared" si="100"/>
        <v>0</v>
      </c>
      <c r="N138" s="23">
        <f t="shared" si="101"/>
        <v>0</v>
      </c>
      <c r="O138" s="23">
        <f t="shared" si="102"/>
        <v>0</v>
      </c>
      <c r="P138" t="s">
        <v>838</v>
      </c>
      <c r="Q138" t="s">
        <v>819</v>
      </c>
      <c r="R138" s="137" t="s">
        <v>820</v>
      </c>
      <c r="S138" t="s">
        <v>10</v>
      </c>
      <c r="T138">
        <f>2*2</f>
        <v>4</v>
      </c>
      <c r="U138">
        <v>58.34</v>
      </c>
      <c r="V138">
        <v>233.36</v>
      </c>
    </row>
    <row r="139" spans="1:22" ht="26.4">
      <c r="A139" s="40" t="s">
        <v>839</v>
      </c>
      <c r="B139" s="40" t="s">
        <v>779</v>
      </c>
      <c r="C139" s="78" t="s">
        <v>822</v>
      </c>
      <c r="D139" s="79" t="s">
        <v>15</v>
      </c>
      <c r="E139" s="86">
        <f t="shared" si="94"/>
        <v>15.14</v>
      </c>
      <c r="F139" s="86">
        <f t="shared" si="95"/>
        <v>33.630000000000003</v>
      </c>
      <c r="G139" s="86">
        <f t="shared" si="96"/>
        <v>509.15820000000008</v>
      </c>
      <c r="H139" s="85">
        <f t="shared" si="93"/>
        <v>15.14</v>
      </c>
      <c r="I139" s="85">
        <f t="shared" si="97"/>
        <v>33.630000000000003</v>
      </c>
      <c r="J139" s="85">
        <f t="shared" si="98"/>
        <v>509.15820000000008</v>
      </c>
      <c r="K139" s="87">
        <v>0</v>
      </c>
      <c r="L139" s="87">
        <f t="shared" si="99"/>
        <v>33.630000000000003</v>
      </c>
      <c r="M139" s="87">
        <f t="shared" si="100"/>
        <v>0</v>
      </c>
      <c r="N139" s="23">
        <f t="shared" si="101"/>
        <v>0</v>
      </c>
      <c r="O139" s="23">
        <f t="shared" si="102"/>
        <v>0</v>
      </c>
      <c r="P139" t="s">
        <v>839</v>
      </c>
      <c r="Q139" t="s">
        <v>779</v>
      </c>
      <c r="R139" s="137" t="s">
        <v>822</v>
      </c>
      <c r="S139" t="s">
        <v>15</v>
      </c>
      <c r="T139">
        <f>(4.61+2.96)*2</f>
        <v>15.14</v>
      </c>
      <c r="U139">
        <v>33.630000000000003</v>
      </c>
      <c r="V139">
        <v>509.16</v>
      </c>
    </row>
    <row r="140" spans="1:22">
      <c r="A140" s="40" t="s">
        <v>840</v>
      </c>
      <c r="B140" s="40" t="s">
        <v>824</v>
      </c>
      <c r="C140" s="78" t="s">
        <v>825</v>
      </c>
      <c r="D140" s="79" t="s">
        <v>116</v>
      </c>
      <c r="E140" s="86">
        <f t="shared" si="94"/>
        <v>1.8168</v>
      </c>
      <c r="F140" s="86">
        <f t="shared" si="95"/>
        <v>27.72</v>
      </c>
      <c r="G140" s="86">
        <f t="shared" si="96"/>
        <v>50.361695999999995</v>
      </c>
      <c r="H140" s="85">
        <f t="shared" si="93"/>
        <v>1.8168</v>
      </c>
      <c r="I140" s="85">
        <f t="shared" si="97"/>
        <v>27.72</v>
      </c>
      <c r="J140" s="85">
        <f t="shared" si="98"/>
        <v>50.361695999999995</v>
      </c>
      <c r="K140" s="87">
        <v>0</v>
      </c>
      <c r="L140" s="87">
        <f t="shared" si="99"/>
        <v>27.72</v>
      </c>
      <c r="M140" s="87">
        <f t="shared" si="100"/>
        <v>0</v>
      </c>
      <c r="N140" s="23">
        <f t="shared" si="101"/>
        <v>0</v>
      </c>
      <c r="O140" s="23">
        <f t="shared" si="102"/>
        <v>0</v>
      </c>
      <c r="P140" t="s">
        <v>840</v>
      </c>
      <c r="Q140" t="s">
        <v>824</v>
      </c>
      <c r="R140" s="137" t="s">
        <v>825</v>
      </c>
      <c r="S140" t="s">
        <v>116</v>
      </c>
      <c r="T140">
        <f>7.57*0.24</f>
        <v>1.8168</v>
      </c>
      <c r="U140">
        <v>27.72</v>
      </c>
      <c r="V140">
        <v>50.37</v>
      </c>
    </row>
    <row r="141" spans="1:22">
      <c r="A141" s="147" t="s">
        <v>841</v>
      </c>
      <c r="B141" s="148"/>
      <c r="C141" s="149"/>
      <c r="D141" s="81"/>
      <c r="E141" s="88"/>
      <c r="F141" s="88"/>
      <c r="G141" s="88">
        <f>SUM(G129:G140)</f>
        <v>5219.8710639999999</v>
      </c>
      <c r="H141" s="88"/>
      <c r="I141" s="88">
        <f t="shared" si="97"/>
        <v>0</v>
      </c>
      <c r="J141" s="88">
        <f>SUM(J129:J140)</f>
        <v>5219.8710639999999</v>
      </c>
      <c r="K141" s="88"/>
      <c r="L141" s="88">
        <f t="shared" si="99"/>
        <v>0</v>
      </c>
      <c r="M141" s="88">
        <f>SUM(M129:M140)</f>
        <v>0</v>
      </c>
      <c r="N141" s="23">
        <f t="shared" si="101"/>
        <v>0</v>
      </c>
      <c r="O141" s="23">
        <f t="shared" si="102"/>
        <v>0</v>
      </c>
      <c r="P141" t="s">
        <v>841</v>
      </c>
      <c r="R141" s="137" t="s">
        <v>841</v>
      </c>
      <c r="V141">
        <v>5219.92</v>
      </c>
    </row>
    <row r="142" spans="1:22" ht="13.2" customHeight="1">
      <c r="A142" s="147" t="s">
        <v>842</v>
      </c>
      <c r="B142" s="148"/>
      <c r="C142" s="149"/>
      <c r="D142" s="81"/>
      <c r="E142" s="88"/>
      <c r="F142" s="88"/>
      <c r="G142" s="88">
        <f>G141+G127+G113</f>
        <v>13740.700115</v>
      </c>
      <c r="H142" s="88"/>
      <c r="I142" s="88">
        <f t="shared" si="97"/>
        <v>0</v>
      </c>
      <c r="J142" s="88">
        <f>J141+J127+J113</f>
        <v>13740.700115</v>
      </c>
      <c r="K142" s="88"/>
      <c r="L142" s="88">
        <f t="shared" si="99"/>
        <v>0</v>
      </c>
      <c r="M142" s="88">
        <f>M141+M127+M113</f>
        <v>0</v>
      </c>
      <c r="N142" s="23">
        <f t="shared" si="101"/>
        <v>0</v>
      </c>
      <c r="O142" s="23">
        <f t="shared" si="102"/>
        <v>0</v>
      </c>
      <c r="P142" t="s">
        <v>866</v>
      </c>
      <c r="R142" s="137" t="s">
        <v>867</v>
      </c>
    </row>
    <row r="143" spans="1:22">
      <c r="E143" s="162" t="s">
        <v>277</v>
      </c>
      <c r="F143" s="162"/>
      <c r="G143" s="34">
        <f>G142+G103+G94+G84+G67+G39+G35+G18</f>
        <v>1186654.5522045</v>
      </c>
      <c r="H143" s="163" t="s">
        <v>277</v>
      </c>
      <c r="I143" s="163"/>
      <c r="J143" s="35">
        <f>J142+J103+J94+J84+J67+J39+J35+J18</f>
        <v>210953.27733143329</v>
      </c>
      <c r="K143" s="164" t="s">
        <v>277</v>
      </c>
      <c r="L143" s="164"/>
      <c r="M143" s="36">
        <f>M142+M103+M94+M84+M67+M39+M35+M18</f>
        <v>975701.27487306658</v>
      </c>
      <c r="N143" s="23">
        <f>G143-J143-M143</f>
        <v>0</v>
      </c>
      <c r="O143" s="23">
        <f t="shared" si="102"/>
        <v>0</v>
      </c>
      <c r="P143" t="s">
        <v>868</v>
      </c>
      <c r="R143" s="137" t="s">
        <v>868</v>
      </c>
      <c r="V143">
        <v>0</v>
      </c>
    </row>
    <row r="144" spans="1:22">
      <c r="E144" s="162" t="s">
        <v>278</v>
      </c>
      <c r="F144" s="162"/>
      <c r="G144" s="34">
        <f>G143*1.23</f>
        <v>1459585.099211535</v>
      </c>
      <c r="H144" s="163" t="s">
        <v>278</v>
      </c>
      <c r="I144" s="163"/>
      <c r="J144" s="35">
        <f>J143*1.23</f>
        <v>259472.53111766293</v>
      </c>
      <c r="K144" s="164" t="s">
        <v>278</v>
      </c>
      <c r="L144" s="164"/>
      <c r="M144" s="36">
        <f>M143*1.23</f>
        <v>1200112.5680938719</v>
      </c>
      <c r="N144" s="23">
        <f>G144-J144-M144</f>
        <v>0</v>
      </c>
      <c r="O144" s="23">
        <f t="shared" si="102"/>
        <v>0</v>
      </c>
      <c r="P144" t="s">
        <v>842</v>
      </c>
      <c r="R144" s="137" t="s">
        <v>842</v>
      </c>
      <c r="V144">
        <v>13740.79</v>
      </c>
    </row>
  </sheetData>
  <mergeCells count="31">
    <mergeCell ref="A1:M1"/>
    <mergeCell ref="E143:F143"/>
    <mergeCell ref="E144:F144"/>
    <mergeCell ref="H143:I143"/>
    <mergeCell ref="H144:I144"/>
    <mergeCell ref="K143:L143"/>
    <mergeCell ref="K144:L144"/>
    <mergeCell ref="B114:M114"/>
    <mergeCell ref="A127:C127"/>
    <mergeCell ref="B128:M128"/>
    <mergeCell ref="A141:C141"/>
    <mergeCell ref="A142:C142"/>
    <mergeCell ref="H2:J2"/>
    <mergeCell ref="K2:M2"/>
    <mergeCell ref="D2:G2"/>
    <mergeCell ref="A84:C84"/>
    <mergeCell ref="B105:M105"/>
    <mergeCell ref="A113:C113"/>
    <mergeCell ref="A94:C94"/>
    <mergeCell ref="A103:C103"/>
    <mergeCell ref="A6:M6"/>
    <mergeCell ref="B7:M7"/>
    <mergeCell ref="A67:C67"/>
    <mergeCell ref="B95:M95"/>
    <mergeCell ref="B104:M104"/>
    <mergeCell ref="B85:M85"/>
    <mergeCell ref="B19:M19"/>
    <mergeCell ref="A35:C35"/>
    <mergeCell ref="B36:M36"/>
    <mergeCell ref="A39:C39"/>
    <mergeCell ref="B40:M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sqref="A1:M1"/>
    </sheetView>
  </sheetViews>
  <sheetFormatPr defaultColWidth="8.88671875" defaultRowHeight="40.200000000000003" customHeight="1"/>
  <cols>
    <col min="1" max="1" width="8.88671875" style="17"/>
    <col min="2" max="2" width="26" style="17" bestFit="1" customWidth="1"/>
    <col min="3" max="3" width="50.6640625" style="18" customWidth="1"/>
    <col min="4" max="4" width="8.88671875" style="24"/>
    <col min="5" max="5" width="9.6640625" style="24" bestFit="1" customWidth="1"/>
    <col min="6" max="6" width="12.33203125" style="24" bestFit="1" customWidth="1"/>
    <col min="7" max="7" width="13.33203125" style="24" bestFit="1" customWidth="1"/>
    <col min="8" max="8" width="9.6640625" style="24" bestFit="1" customWidth="1"/>
    <col min="9" max="9" width="12.33203125" style="24" bestFit="1" customWidth="1"/>
    <col min="10" max="10" width="18.5546875" style="24" bestFit="1" customWidth="1"/>
    <col min="11" max="12" width="12.33203125" style="24" bestFit="1" customWidth="1"/>
    <col min="13" max="13" width="13.33203125" style="24" bestFit="1" customWidth="1"/>
    <col min="14" max="16384" width="8.88671875" style="17"/>
  </cols>
  <sheetData>
    <row r="1" spans="1:17" ht="30.75" customHeight="1" thickBot="1">
      <c r="A1" s="181" t="s">
        <v>871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</row>
    <row r="2" spans="1:17" ht="13.8">
      <c r="A2" s="1"/>
      <c r="B2" s="1"/>
      <c r="C2" s="1"/>
      <c r="D2" s="184" t="s">
        <v>113</v>
      </c>
      <c r="E2" s="185"/>
      <c r="F2" s="185"/>
      <c r="G2" s="186"/>
      <c r="H2" s="187" t="s">
        <v>279</v>
      </c>
      <c r="I2" s="188"/>
      <c r="J2" s="189"/>
      <c r="K2" s="190" t="s">
        <v>18</v>
      </c>
      <c r="L2" s="191"/>
      <c r="M2" s="192"/>
      <c r="Q2" s="18"/>
    </row>
    <row r="3" spans="1:17" ht="26.4">
      <c r="A3" s="94" t="s">
        <v>0</v>
      </c>
      <c r="B3" s="94" t="s">
        <v>1</v>
      </c>
      <c r="C3" s="42" t="s">
        <v>2</v>
      </c>
      <c r="D3" s="96" t="s">
        <v>3</v>
      </c>
      <c r="E3" s="43" t="s">
        <v>4</v>
      </c>
      <c r="F3" s="3" t="s">
        <v>5</v>
      </c>
      <c r="G3" s="4" t="s">
        <v>7</v>
      </c>
      <c r="H3" s="44" t="s">
        <v>4</v>
      </c>
      <c r="I3" s="5" t="s">
        <v>5</v>
      </c>
      <c r="J3" s="6" t="s">
        <v>7</v>
      </c>
      <c r="K3" s="45" t="s">
        <v>4</v>
      </c>
      <c r="L3" s="7" t="s">
        <v>5</v>
      </c>
      <c r="M3" s="8" t="s">
        <v>7</v>
      </c>
      <c r="Q3" s="18"/>
    </row>
    <row r="4" spans="1:17" ht="13.2">
      <c r="A4" s="95"/>
      <c r="B4" s="95"/>
      <c r="C4" s="46"/>
      <c r="D4" s="97"/>
      <c r="E4" s="47"/>
      <c r="F4" s="3" t="s">
        <v>6</v>
      </c>
      <c r="G4" s="4" t="s">
        <v>6</v>
      </c>
      <c r="H4" s="48"/>
      <c r="I4" s="5" t="s">
        <v>6</v>
      </c>
      <c r="J4" s="6" t="s">
        <v>6</v>
      </c>
      <c r="K4" s="49"/>
      <c r="L4" s="7" t="s">
        <v>6</v>
      </c>
      <c r="M4" s="8" t="s">
        <v>6</v>
      </c>
      <c r="Q4" s="18"/>
    </row>
    <row r="5" spans="1:17" ht="13.8">
      <c r="A5" s="95"/>
      <c r="B5" s="95"/>
      <c r="C5" s="46"/>
      <c r="D5" s="97"/>
      <c r="E5" s="47"/>
      <c r="F5" s="9"/>
      <c r="G5" s="10" t="s">
        <v>8</v>
      </c>
      <c r="H5" s="48"/>
      <c r="I5" s="25"/>
      <c r="J5" s="26" t="s">
        <v>280</v>
      </c>
      <c r="K5" s="49"/>
      <c r="L5" s="27"/>
      <c r="M5" s="28" t="s">
        <v>281</v>
      </c>
      <c r="Q5" s="18"/>
    </row>
    <row r="6" spans="1:17" ht="40.200000000000003" customHeight="1">
      <c r="A6" s="193" t="s">
        <v>713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Q6" s="18"/>
    </row>
    <row r="7" spans="1:17" ht="13.2">
      <c r="A7" s="29">
        <v>1</v>
      </c>
      <c r="B7" s="29"/>
      <c r="C7" s="194" t="s">
        <v>843</v>
      </c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7" ht="13.2">
      <c r="A8" s="29" t="s">
        <v>114</v>
      </c>
      <c r="B8" s="29"/>
      <c r="C8" s="194" t="s">
        <v>671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</row>
    <row r="9" spans="1:17" ht="40.200000000000003" customHeight="1">
      <c r="A9" s="32" t="s">
        <v>304</v>
      </c>
      <c r="B9" s="32" t="s">
        <v>305</v>
      </c>
      <c r="C9" s="33" t="s">
        <v>689</v>
      </c>
      <c r="D9" s="98" t="s">
        <v>15</v>
      </c>
      <c r="E9" s="98">
        <v>23</v>
      </c>
      <c r="F9" s="98">
        <v>49.96</v>
      </c>
      <c r="G9" s="98">
        <v>1149.08</v>
      </c>
      <c r="H9" s="93">
        <f>E9-K9</f>
        <v>0</v>
      </c>
      <c r="I9" s="93">
        <f>F9</f>
        <v>49.96</v>
      </c>
      <c r="J9" s="93">
        <f>H9*I9</f>
        <v>0</v>
      </c>
      <c r="K9" s="99">
        <f>E9</f>
        <v>23</v>
      </c>
      <c r="L9" s="99">
        <f>F9</f>
        <v>49.96</v>
      </c>
      <c r="M9" s="99">
        <f>K9*L9</f>
        <v>1149.08</v>
      </c>
    </row>
    <row r="10" spans="1:17" ht="40.200000000000003" customHeight="1">
      <c r="A10" s="32" t="s">
        <v>306</v>
      </c>
      <c r="B10" s="32" t="s">
        <v>307</v>
      </c>
      <c r="C10" s="33" t="s">
        <v>690</v>
      </c>
      <c r="D10" s="98" t="s">
        <v>15</v>
      </c>
      <c r="E10" s="98">
        <v>63</v>
      </c>
      <c r="F10" s="98">
        <v>39.979999999999997</v>
      </c>
      <c r="G10" s="98">
        <v>2518.7399999999998</v>
      </c>
      <c r="H10" s="93">
        <f t="shared" ref="H10:H45" si="0">E10-K10</f>
        <v>0</v>
      </c>
      <c r="I10" s="93">
        <f t="shared" ref="I10:I45" si="1">F10</f>
        <v>39.979999999999997</v>
      </c>
      <c r="J10" s="93">
        <f t="shared" ref="J10:J45" si="2">H10*I10</f>
        <v>0</v>
      </c>
      <c r="K10" s="99">
        <f t="shared" ref="K10:K45" si="3">E10</f>
        <v>63</v>
      </c>
      <c r="L10" s="99">
        <f t="shared" ref="L10:L45" si="4">F10</f>
        <v>39.979999999999997</v>
      </c>
      <c r="M10" s="99">
        <f t="shared" ref="M10:M45" si="5">K10*L10</f>
        <v>2518.7399999999998</v>
      </c>
    </row>
    <row r="11" spans="1:17" ht="40.200000000000003" customHeight="1">
      <c r="A11" s="32" t="s">
        <v>308</v>
      </c>
      <c r="B11" s="32" t="s">
        <v>309</v>
      </c>
      <c r="C11" s="33" t="s">
        <v>691</v>
      </c>
      <c r="D11" s="98" t="s">
        <v>15</v>
      </c>
      <c r="E11" s="98">
        <v>84</v>
      </c>
      <c r="F11" s="98">
        <v>26.15</v>
      </c>
      <c r="G11" s="98">
        <v>2196.6</v>
      </c>
      <c r="H11" s="93">
        <f t="shared" si="0"/>
        <v>0</v>
      </c>
      <c r="I11" s="93">
        <f t="shared" si="1"/>
        <v>26.15</v>
      </c>
      <c r="J11" s="93">
        <f t="shared" si="2"/>
        <v>0</v>
      </c>
      <c r="K11" s="99">
        <f t="shared" si="3"/>
        <v>84</v>
      </c>
      <c r="L11" s="99">
        <f t="shared" si="4"/>
        <v>26.15</v>
      </c>
      <c r="M11" s="99">
        <f t="shared" si="5"/>
        <v>2196.6</v>
      </c>
    </row>
    <row r="12" spans="1:17" ht="40.200000000000003" customHeight="1">
      <c r="A12" s="32" t="s">
        <v>310</v>
      </c>
      <c r="B12" s="32" t="s">
        <v>311</v>
      </c>
      <c r="C12" s="33" t="s">
        <v>692</v>
      </c>
      <c r="D12" s="98" t="s">
        <v>15</v>
      </c>
      <c r="E12" s="98">
        <v>750</v>
      </c>
      <c r="F12" s="98">
        <v>25.24</v>
      </c>
      <c r="G12" s="98">
        <v>18930</v>
      </c>
      <c r="H12" s="93">
        <f t="shared" si="0"/>
        <v>0</v>
      </c>
      <c r="I12" s="93">
        <f t="shared" si="1"/>
        <v>25.24</v>
      </c>
      <c r="J12" s="93">
        <f t="shared" si="2"/>
        <v>0</v>
      </c>
      <c r="K12" s="99">
        <f t="shared" si="3"/>
        <v>750</v>
      </c>
      <c r="L12" s="99">
        <f t="shared" si="4"/>
        <v>25.24</v>
      </c>
      <c r="M12" s="99">
        <f t="shared" si="5"/>
        <v>18930</v>
      </c>
    </row>
    <row r="13" spans="1:17" ht="40.200000000000003" customHeight="1">
      <c r="A13" s="32" t="s">
        <v>312</v>
      </c>
      <c r="B13" s="32" t="s">
        <v>313</v>
      </c>
      <c r="C13" s="33" t="s">
        <v>314</v>
      </c>
      <c r="D13" s="98" t="s">
        <v>15</v>
      </c>
      <c r="E13" s="98">
        <v>920</v>
      </c>
      <c r="F13" s="98">
        <v>1.53</v>
      </c>
      <c r="G13" s="98">
        <v>1407.6</v>
      </c>
      <c r="H13" s="93">
        <f t="shared" si="0"/>
        <v>0</v>
      </c>
      <c r="I13" s="93">
        <f t="shared" si="1"/>
        <v>1.53</v>
      </c>
      <c r="J13" s="93">
        <f t="shared" si="2"/>
        <v>0</v>
      </c>
      <c r="K13" s="99">
        <f t="shared" si="3"/>
        <v>920</v>
      </c>
      <c r="L13" s="99">
        <f t="shared" si="4"/>
        <v>1.53</v>
      </c>
      <c r="M13" s="99">
        <f t="shared" si="5"/>
        <v>1407.6000000000001</v>
      </c>
    </row>
    <row r="14" spans="1:17" ht="40.200000000000003" customHeight="1">
      <c r="A14" s="32" t="s">
        <v>315</v>
      </c>
      <c r="B14" s="32" t="s">
        <v>316</v>
      </c>
      <c r="C14" s="33" t="s">
        <v>317</v>
      </c>
      <c r="D14" s="98" t="s">
        <v>318</v>
      </c>
      <c r="E14" s="98">
        <v>1</v>
      </c>
      <c r="F14" s="98">
        <v>211.47</v>
      </c>
      <c r="G14" s="98">
        <v>211.47</v>
      </c>
      <c r="H14" s="93">
        <f t="shared" si="0"/>
        <v>0</v>
      </c>
      <c r="I14" s="93">
        <f t="shared" si="1"/>
        <v>211.47</v>
      </c>
      <c r="J14" s="93">
        <f t="shared" si="2"/>
        <v>0</v>
      </c>
      <c r="K14" s="99">
        <f t="shared" si="3"/>
        <v>1</v>
      </c>
      <c r="L14" s="99">
        <f t="shared" si="4"/>
        <v>211.47</v>
      </c>
      <c r="M14" s="99">
        <f t="shared" si="5"/>
        <v>211.47</v>
      </c>
    </row>
    <row r="15" spans="1:17" ht="40.200000000000003" customHeight="1">
      <c r="A15" s="32" t="s">
        <v>319</v>
      </c>
      <c r="B15" s="32" t="s">
        <v>320</v>
      </c>
      <c r="C15" s="33" t="s">
        <v>321</v>
      </c>
      <c r="D15" s="98" t="s">
        <v>15</v>
      </c>
      <c r="E15" s="98">
        <v>920</v>
      </c>
      <c r="F15" s="98">
        <v>2.04</v>
      </c>
      <c r="G15" s="98">
        <v>1876.8</v>
      </c>
      <c r="H15" s="93">
        <f t="shared" si="0"/>
        <v>0</v>
      </c>
      <c r="I15" s="93">
        <f t="shared" si="1"/>
        <v>2.04</v>
      </c>
      <c r="J15" s="93">
        <f t="shared" si="2"/>
        <v>0</v>
      </c>
      <c r="K15" s="99">
        <f t="shared" si="3"/>
        <v>920</v>
      </c>
      <c r="L15" s="99">
        <f t="shared" si="4"/>
        <v>2.04</v>
      </c>
      <c r="M15" s="99">
        <f t="shared" si="5"/>
        <v>1876.8</v>
      </c>
    </row>
    <row r="16" spans="1:17" ht="40.200000000000003" customHeight="1">
      <c r="A16" s="32" t="s">
        <v>322</v>
      </c>
      <c r="B16" s="32" t="s">
        <v>323</v>
      </c>
      <c r="C16" s="33" t="s">
        <v>324</v>
      </c>
      <c r="D16" s="98" t="s">
        <v>15</v>
      </c>
      <c r="E16" s="98">
        <v>40</v>
      </c>
      <c r="F16" s="98">
        <v>24.75</v>
      </c>
      <c r="G16" s="98">
        <v>990</v>
      </c>
      <c r="H16" s="93">
        <f t="shared" si="0"/>
        <v>0</v>
      </c>
      <c r="I16" s="93">
        <f t="shared" si="1"/>
        <v>24.75</v>
      </c>
      <c r="J16" s="93">
        <f t="shared" si="2"/>
        <v>0</v>
      </c>
      <c r="K16" s="99">
        <f t="shared" si="3"/>
        <v>40</v>
      </c>
      <c r="L16" s="99">
        <f t="shared" si="4"/>
        <v>24.75</v>
      </c>
      <c r="M16" s="99">
        <f t="shared" si="5"/>
        <v>990</v>
      </c>
    </row>
    <row r="17" spans="1:13" ht="40.200000000000003" customHeight="1">
      <c r="A17" s="32" t="s">
        <v>325</v>
      </c>
      <c r="B17" s="32" t="s">
        <v>323</v>
      </c>
      <c r="C17" s="33" t="s">
        <v>326</v>
      </c>
      <c r="D17" s="98" t="s">
        <v>15</v>
      </c>
      <c r="E17" s="98">
        <v>49</v>
      </c>
      <c r="F17" s="98">
        <v>13.98</v>
      </c>
      <c r="G17" s="98">
        <v>685.02</v>
      </c>
      <c r="H17" s="93">
        <f t="shared" si="0"/>
        <v>0</v>
      </c>
      <c r="I17" s="93">
        <f t="shared" si="1"/>
        <v>13.98</v>
      </c>
      <c r="J17" s="93">
        <f t="shared" si="2"/>
        <v>0</v>
      </c>
      <c r="K17" s="99">
        <f t="shared" si="3"/>
        <v>49</v>
      </c>
      <c r="L17" s="99">
        <f t="shared" si="4"/>
        <v>13.98</v>
      </c>
      <c r="M17" s="99">
        <f t="shared" si="5"/>
        <v>685.02</v>
      </c>
    </row>
    <row r="18" spans="1:13" ht="40.200000000000003" customHeight="1">
      <c r="A18" s="32" t="s">
        <v>327</v>
      </c>
      <c r="B18" s="32" t="s">
        <v>323</v>
      </c>
      <c r="C18" s="33" t="s">
        <v>328</v>
      </c>
      <c r="D18" s="98" t="s">
        <v>15</v>
      </c>
      <c r="E18" s="98">
        <v>445</v>
      </c>
      <c r="F18" s="98">
        <v>12.15</v>
      </c>
      <c r="G18" s="98">
        <v>5406.75</v>
      </c>
      <c r="H18" s="93">
        <f t="shared" si="0"/>
        <v>0</v>
      </c>
      <c r="I18" s="93">
        <f t="shared" si="1"/>
        <v>12.15</v>
      </c>
      <c r="J18" s="93">
        <f t="shared" si="2"/>
        <v>0</v>
      </c>
      <c r="K18" s="99">
        <f t="shared" si="3"/>
        <v>445</v>
      </c>
      <c r="L18" s="99">
        <f t="shared" si="4"/>
        <v>12.15</v>
      </c>
      <c r="M18" s="99">
        <f t="shared" si="5"/>
        <v>5406.75</v>
      </c>
    </row>
    <row r="19" spans="1:13" ht="40.200000000000003" customHeight="1">
      <c r="A19" s="32" t="s">
        <v>329</v>
      </c>
      <c r="B19" s="32" t="s">
        <v>323</v>
      </c>
      <c r="C19" s="33" t="s">
        <v>330</v>
      </c>
      <c r="D19" s="98" t="s">
        <v>15</v>
      </c>
      <c r="E19" s="98">
        <v>23</v>
      </c>
      <c r="F19" s="98">
        <v>10.85</v>
      </c>
      <c r="G19" s="98">
        <v>249.55</v>
      </c>
      <c r="H19" s="93">
        <f t="shared" si="0"/>
        <v>0</v>
      </c>
      <c r="I19" s="93">
        <f t="shared" si="1"/>
        <v>10.85</v>
      </c>
      <c r="J19" s="93">
        <f t="shared" si="2"/>
        <v>0</v>
      </c>
      <c r="K19" s="99">
        <f t="shared" si="3"/>
        <v>23</v>
      </c>
      <c r="L19" s="99">
        <f t="shared" si="4"/>
        <v>10.85</v>
      </c>
      <c r="M19" s="99">
        <f t="shared" si="5"/>
        <v>249.54999999999998</v>
      </c>
    </row>
    <row r="20" spans="1:13" ht="40.200000000000003" customHeight="1">
      <c r="A20" s="32" t="s">
        <v>331</v>
      </c>
      <c r="B20" s="32" t="s">
        <v>323</v>
      </c>
      <c r="C20" s="33" t="s">
        <v>332</v>
      </c>
      <c r="D20" s="98" t="s">
        <v>15</v>
      </c>
      <c r="E20" s="98">
        <v>23</v>
      </c>
      <c r="F20" s="98">
        <v>9.4600000000000009</v>
      </c>
      <c r="G20" s="98">
        <v>217.58</v>
      </c>
      <c r="H20" s="93">
        <f t="shared" si="0"/>
        <v>0</v>
      </c>
      <c r="I20" s="93">
        <f t="shared" si="1"/>
        <v>9.4600000000000009</v>
      </c>
      <c r="J20" s="93">
        <f t="shared" si="2"/>
        <v>0</v>
      </c>
      <c r="K20" s="99">
        <f t="shared" si="3"/>
        <v>23</v>
      </c>
      <c r="L20" s="99">
        <f t="shared" si="4"/>
        <v>9.4600000000000009</v>
      </c>
      <c r="M20" s="99">
        <f t="shared" si="5"/>
        <v>217.58</v>
      </c>
    </row>
    <row r="21" spans="1:13" ht="40.200000000000003" customHeight="1">
      <c r="A21" s="32" t="s">
        <v>333</v>
      </c>
      <c r="B21" s="32" t="s">
        <v>323</v>
      </c>
      <c r="C21" s="33" t="s">
        <v>334</v>
      </c>
      <c r="D21" s="98" t="s">
        <v>15</v>
      </c>
      <c r="E21" s="98">
        <v>35</v>
      </c>
      <c r="F21" s="98">
        <v>8.4499999999999993</v>
      </c>
      <c r="G21" s="98">
        <v>295.75</v>
      </c>
      <c r="H21" s="93">
        <f t="shared" si="0"/>
        <v>0</v>
      </c>
      <c r="I21" s="93">
        <f t="shared" si="1"/>
        <v>8.4499999999999993</v>
      </c>
      <c r="J21" s="93">
        <f t="shared" si="2"/>
        <v>0</v>
      </c>
      <c r="K21" s="99">
        <f t="shared" si="3"/>
        <v>35</v>
      </c>
      <c r="L21" s="99">
        <f t="shared" si="4"/>
        <v>8.4499999999999993</v>
      </c>
      <c r="M21" s="99">
        <f t="shared" si="5"/>
        <v>295.75</v>
      </c>
    </row>
    <row r="22" spans="1:13" ht="40.200000000000003" customHeight="1">
      <c r="A22" s="32" t="s">
        <v>335</v>
      </c>
      <c r="B22" s="32" t="s">
        <v>323</v>
      </c>
      <c r="C22" s="33" t="s">
        <v>336</v>
      </c>
      <c r="D22" s="98" t="s">
        <v>15</v>
      </c>
      <c r="E22" s="98">
        <v>305</v>
      </c>
      <c r="F22" s="98">
        <v>7.49</v>
      </c>
      <c r="G22" s="98">
        <v>2284.4499999999998</v>
      </c>
      <c r="H22" s="93">
        <f t="shared" si="0"/>
        <v>0</v>
      </c>
      <c r="I22" s="93">
        <f t="shared" si="1"/>
        <v>7.49</v>
      </c>
      <c r="J22" s="93">
        <f t="shared" si="2"/>
        <v>0</v>
      </c>
      <c r="K22" s="99">
        <f t="shared" si="3"/>
        <v>305</v>
      </c>
      <c r="L22" s="99">
        <f t="shared" si="4"/>
        <v>7.49</v>
      </c>
      <c r="M22" s="99">
        <f t="shared" si="5"/>
        <v>2284.4500000000003</v>
      </c>
    </row>
    <row r="23" spans="1:13" ht="40.200000000000003" customHeight="1">
      <c r="A23" s="32" t="s">
        <v>337</v>
      </c>
      <c r="B23" s="32" t="s">
        <v>338</v>
      </c>
      <c r="C23" s="33" t="s">
        <v>339</v>
      </c>
      <c r="D23" s="98" t="s">
        <v>10</v>
      </c>
      <c r="E23" s="98">
        <v>2</v>
      </c>
      <c r="F23" s="98">
        <v>62.87</v>
      </c>
      <c r="G23" s="98">
        <v>125.74</v>
      </c>
      <c r="H23" s="93">
        <f t="shared" si="0"/>
        <v>0</v>
      </c>
      <c r="I23" s="93">
        <f t="shared" si="1"/>
        <v>62.87</v>
      </c>
      <c r="J23" s="93">
        <f t="shared" si="2"/>
        <v>0</v>
      </c>
      <c r="K23" s="99">
        <f t="shared" si="3"/>
        <v>2</v>
      </c>
      <c r="L23" s="99">
        <f t="shared" si="4"/>
        <v>62.87</v>
      </c>
      <c r="M23" s="99">
        <f t="shared" si="5"/>
        <v>125.74</v>
      </c>
    </row>
    <row r="24" spans="1:13" ht="40.200000000000003" customHeight="1">
      <c r="A24" s="32" t="s">
        <v>340</v>
      </c>
      <c r="B24" s="32" t="s">
        <v>341</v>
      </c>
      <c r="C24" s="33" t="s">
        <v>342</v>
      </c>
      <c r="D24" s="98" t="s">
        <v>10</v>
      </c>
      <c r="E24" s="98">
        <v>8</v>
      </c>
      <c r="F24" s="98">
        <v>46.55</v>
      </c>
      <c r="G24" s="98">
        <v>372.4</v>
      </c>
      <c r="H24" s="93">
        <f t="shared" si="0"/>
        <v>0</v>
      </c>
      <c r="I24" s="93">
        <f t="shared" si="1"/>
        <v>46.55</v>
      </c>
      <c r="J24" s="93">
        <f t="shared" si="2"/>
        <v>0</v>
      </c>
      <c r="K24" s="99">
        <f t="shared" si="3"/>
        <v>8</v>
      </c>
      <c r="L24" s="99">
        <f t="shared" si="4"/>
        <v>46.55</v>
      </c>
      <c r="M24" s="99">
        <f t="shared" si="5"/>
        <v>372.4</v>
      </c>
    </row>
    <row r="25" spans="1:13" ht="40.200000000000003" customHeight="1">
      <c r="A25" s="32" t="s">
        <v>343</v>
      </c>
      <c r="B25" s="32" t="s">
        <v>344</v>
      </c>
      <c r="C25" s="33" t="s">
        <v>345</v>
      </c>
      <c r="D25" s="98" t="s">
        <v>10</v>
      </c>
      <c r="E25" s="98">
        <v>4</v>
      </c>
      <c r="F25" s="98">
        <v>30.98</v>
      </c>
      <c r="G25" s="98">
        <v>123.92</v>
      </c>
      <c r="H25" s="93">
        <f t="shared" si="0"/>
        <v>0</v>
      </c>
      <c r="I25" s="93">
        <f t="shared" si="1"/>
        <v>30.98</v>
      </c>
      <c r="J25" s="93">
        <f t="shared" si="2"/>
        <v>0</v>
      </c>
      <c r="K25" s="99">
        <f t="shared" si="3"/>
        <v>4</v>
      </c>
      <c r="L25" s="99">
        <f t="shared" si="4"/>
        <v>30.98</v>
      </c>
      <c r="M25" s="99">
        <f t="shared" si="5"/>
        <v>123.92</v>
      </c>
    </row>
    <row r="26" spans="1:13" ht="40.200000000000003" customHeight="1">
      <c r="A26" s="32" t="s">
        <v>346</v>
      </c>
      <c r="B26" s="32" t="s">
        <v>347</v>
      </c>
      <c r="C26" s="33" t="s">
        <v>348</v>
      </c>
      <c r="D26" s="98" t="s">
        <v>10</v>
      </c>
      <c r="E26" s="98">
        <v>13</v>
      </c>
      <c r="F26" s="98">
        <v>23.61</v>
      </c>
      <c r="G26" s="98">
        <v>306.93</v>
      </c>
      <c r="H26" s="93">
        <f t="shared" si="0"/>
        <v>0</v>
      </c>
      <c r="I26" s="93">
        <f t="shared" si="1"/>
        <v>23.61</v>
      </c>
      <c r="J26" s="93">
        <f t="shared" si="2"/>
        <v>0</v>
      </c>
      <c r="K26" s="99">
        <f t="shared" si="3"/>
        <v>13</v>
      </c>
      <c r="L26" s="99">
        <f t="shared" si="4"/>
        <v>23.61</v>
      </c>
      <c r="M26" s="99">
        <f t="shared" si="5"/>
        <v>306.93</v>
      </c>
    </row>
    <row r="27" spans="1:13" ht="40.200000000000003" customHeight="1">
      <c r="A27" s="32" t="s">
        <v>349</v>
      </c>
      <c r="B27" s="32" t="s">
        <v>350</v>
      </c>
      <c r="C27" s="33" t="s">
        <v>351</v>
      </c>
      <c r="D27" s="98" t="s">
        <v>10</v>
      </c>
      <c r="E27" s="98">
        <v>8</v>
      </c>
      <c r="F27" s="98">
        <v>209.17</v>
      </c>
      <c r="G27" s="98">
        <v>1673.36</v>
      </c>
      <c r="H27" s="93">
        <f t="shared" si="0"/>
        <v>0</v>
      </c>
      <c r="I27" s="93">
        <f t="shared" si="1"/>
        <v>209.17</v>
      </c>
      <c r="J27" s="93">
        <f t="shared" si="2"/>
        <v>0</v>
      </c>
      <c r="K27" s="99">
        <f t="shared" si="3"/>
        <v>8</v>
      </c>
      <c r="L27" s="99">
        <f t="shared" si="4"/>
        <v>209.17</v>
      </c>
      <c r="M27" s="99">
        <f t="shared" si="5"/>
        <v>1673.36</v>
      </c>
    </row>
    <row r="28" spans="1:13" ht="40.200000000000003" customHeight="1">
      <c r="A28" s="32" t="s">
        <v>352</v>
      </c>
      <c r="B28" s="32" t="s">
        <v>353</v>
      </c>
      <c r="C28" s="33" t="s">
        <v>354</v>
      </c>
      <c r="D28" s="98" t="s">
        <v>10</v>
      </c>
      <c r="E28" s="98">
        <v>36</v>
      </c>
      <c r="F28" s="98">
        <v>212.81</v>
      </c>
      <c r="G28" s="98">
        <v>7661.16</v>
      </c>
      <c r="H28" s="93">
        <f t="shared" si="0"/>
        <v>36</v>
      </c>
      <c r="I28" s="93">
        <f t="shared" si="1"/>
        <v>212.81</v>
      </c>
      <c r="J28" s="93">
        <f t="shared" si="2"/>
        <v>7661.16</v>
      </c>
      <c r="K28" s="99">
        <v>0</v>
      </c>
      <c r="L28" s="99">
        <f t="shared" si="4"/>
        <v>212.81</v>
      </c>
      <c r="M28" s="99">
        <f t="shared" si="5"/>
        <v>0</v>
      </c>
    </row>
    <row r="29" spans="1:13" ht="40.200000000000003" customHeight="1">
      <c r="A29" s="32" t="s">
        <v>355</v>
      </c>
      <c r="B29" s="32" t="s">
        <v>353</v>
      </c>
      <c r="C29" s="33" t="s">
        <v>356</v>
      </c>
      <c r="D29" s="98" t="s">
        <v>10</v>
      </c>
      <c r="E29" s="98">
        <v>1</v>
      </c>
      <c r="F29" s="98">
        <v>292.06</v>
      </c>
      <c r="G29" s="98">
        <v>292.06</v>
      </c>
      <c r="H29" s="93">
        <f t="shared" si="0"/>
        <v>1</v>
      </c>
      <c r="I29" s="93">
        <f t="shared" si="1"/>
        <v>292.06</v>
      </c>
      <c r="J29" s="93">
        <f t="shared" si="2"/>
        <v>292.06</v>
      </c>
      <c r="K29" s="99">
        <v>0</v>
      </c>
      <c r="L29" s="99">
        <f t="shared" si="4"/>
        <v>292.06</v>
      </c>
      <c r="M29" s="99">
        <f t="shared" si="5"/>
        <v>0</v>
      </c>
    </row>
    <row r="30" spans="1:13" ht="40.200000000000003" customHeight="1">
      <c r="A30" s="32" t="s">
        <v>357</v>
      </c>
      <c r="B30" s="32" t="s">
        <v>353</v>
      </c>
      <c r="C30" s="33" t="s">
        <v>358</v>
      </c>
      <c r="D30" s="98" t="s">
        <v>10</v>
      </c>
      <c r="E30" s="98">
        <v>13</v>
      </c>
      <c r="F30" s="98">
        <v>212.81</v>
      </c>
      <c r="G30" s="98">
        <v>2766.53</v>
      </c>
      <c r="H30" s="93">
        <f t="shared" si="0"/>
        <v>13</v>
      </c>
      <c r="I30" s="93">
        <f t="shared" si="1"/>
        <v>212.81</v>
      </c>
      <c r="J30" s="93">
        <f t="shared" si="2"/>
        <v>2766.53</v>
      </c>
      <c r="K30" s="99">
        <v>0</v>
      </c>
      <c r="L30" s="99">
        <f t="shared" si="4"/>
        <v>212.81</v>
      </c>
      <c r="M30" s="99">
        <f t="shared" si="5"/>
        <v>0</v>
      </c>
    </row>
    <row r="31" spans="1:13" ht="40.200000000000003" customHeight="1">
      <c r="A31" s="32" t="s">
        <v>359</v>
      </c>
      <c r="B31" s="32" t="s">
        <v>360</v>
      </c>
      <c r="C31" s="33" t="s">
        <v>361</v>
      </c>
      <c r="D31" s="98" t="s">
        <v>10</v>
      </c>
      <c r="E31" s="98">
        <v>3</v>
      </c>
      <c r="F31" s="98">
        <v>220.75</v>
      </c>
      <c r="G31" s="98">
        <v>662.25</v>
      </c>
      <c r="H31" s="93">
        <f t="shared" si="0"/>
        <v>3</v>
      </c>
      <c r="I31" s="93">
        <f t="shared" si="1"/>
        <v>220.75</v>
      </c>
      <c r="J31" s="93">
        <f t="shared" si="2"/>
        <v>662.25</v>
      </c>
      <c r="K31" s="99">
        <v>0</v>
      </c>
      <c r="L31" s="99">
        <f t="shared" si="4"/>
        <v>220.75</v>
      </c>
      <c r="M31" s="99">
        <f t="shared" si="5"/>
        <v>0</v>
      </c>
    </row>
    <row r="32" spans="1:13" ht="40.200000000000003" customHeight="1">
      <c r="A32" s="32" t="s">
        <v>362</v>
      </c>
      <c r="B32" s="32" t="s">
        <v>360</v>
      </c>
      <c r="C32" s="33" t="s">
        <v>363</v>
      </c>
      <c r="D32" s="98" t="s">
        <v>10</v>
      </c>
      <c r="E32" s="98">
        <v>1</v>
      </c>
      <c r="F32" s="98">
        <v>235.55</v>
      </c>
      <c r="G32" s="98">
        <v>235.55</v>
      </c>
      <c r="H32" s="93">
        <f t="shared" si="0"/>
        <v>1</v>
      </c>
      <c r="I32" s="93">
        <f t="shared" si="1"/>
        <v>235.55</v>
      </c>
      <c r="J32" s="93">
        <f t="shared" si="2"/>
        <v>235.55</v>
      </c>
      <c r="K32" s="99">
        <v>0</v>
      </c>
      <c r="L32" s="99">
        <f t="shared" si="4"/>
        <v>235.55</v>
      </c>
      <c r="M32" s="99">
        <f t="shared" si="5"/>
        <v>0</v>
      </c>
    </row>
    <row r="33" spans="1:13" ht="40.200000000000003" customHeight="1">
      <c r="A33" s="32" t="s">
        <v>364</v>
      </c>
      <c r="B33" s="32" t="s">
        <v>365</v>
      </c>
      <c r="C33" s="33" t="s">
        <v>366</v>
      </c>
      <c r="D33" s="98" t="s">
        <v>10</v>
      </c>
      <c r="E33" s="98">
        <v>102</v>
      </c>
      <c r="F33" s="98">
        <v>43.34</v>
      </c>
      <c r="G33" s="98">
        <v>4420.68</v>
      </c>
      <c r="H33" s="93">
        <f t="shared" si="0"/>
        <v>102</v>
      </c>
      <c r="I33" s="93">
        <f t="shared" si="1"/>
        <v>43.34</v>
      </c>
      <c r="J33" s="93">
        <f t="shared" si="2"/>
        <v>4420.68</v>
      </c>
      <c r="K33" s="99">
        <v>0</v>
      </c>
      <c r="L33" s="99">
        <f t="shared" si="4"/>
        <v>43.34</v>
      </c>
      <c r="M33" s="99">
        <f t="shared" si="5"/>
        <v>0</v>
      </c>
    </row>
    <row r="34" spans="1:13" ht="40.200000000000003" customHeight="1">
      <c r="A34" s="32" t="s">
        <v>367</v>
      </c>
      <c r="B34" s="32" t="s">
        <v>365</v>
      </c>
      <c r="C34" s="33" t="s">
        <v>368</v>
      </c>
      <c r="D34" s="98" t="s">
        <v>10</v>
      </c>
      <c r="E34" s="98">
        <v>8</v>
      </c>
      <c r="F34" s="98">
        <v>43.34</v>
      </c>
      <c r="G34" s="98">
        <v>346.72</v>
      </c>
      <c r="H34" s="93">
        <f t="shared" si="0"/>
        <v>8</v>
      </c>
      <c r="I34" s="93">
        <f t="shared" si="1"/>
        <v>43.34</v>
      </c>
      <c r="J34" s="93">
        <f t="shared" si="2"/>
        <v>346.72</v>
      </c>
      <c r="K34" s="99">
        <v>0</v>
      </c>
      <c r="L34" s="99">
        <f t="shared" si="4"/>
        <v>43.34</v>
      </c>
      <c r="M34" s="99">
        <f t="shared" si="5"/>
        <v>0</v>
      </c>
    </row>
    <row r="35" spans="1:13" ht="40.200000000000003" customHeight="1">
      <c r="A35" s="32" t="s">
        <v>369</v>
      </c>
      <c r="B35" s="32" t="s">
        <v>370</v>
      </c>
      <c r="C35" s="33" t="s">
        <v>371</v>
      </c>
      <c r="D35" s="98" t="s">
        <v>10</v>
      </c>
      <c r="E35" s="98">
        <v>1</v>
      </c>
      <c r="F35" s="98">
        <v>20.87</v>
      </c>
      <c r="G35" s="98">
        <v>20.87</v>
      </c>
      <c r="H35" s="93">
        <f t="shared" si="0"/>
        <v>1</v>
      </c>
      <c r="I35" s="93">
        <f t="shared" si="1"/>
        <v>20.87</v>
      </c>
      <c r="J35" s="93">
        <f t="shared" si="2"/>
        <v>20.87</v>
      </c>
      <c r="K35" s="99">
        <v>0</v>
      </c>
      <c r="L35" s="99">
        <f t="shared" si="4"/>
        <v>20.87</v>
      </c>
      <c r="M35" s="99">
        <f t="shared" si="5"/>
        <v>0</v>
      </c>
    </row>
    <row r="36" spans="1:13" ht="40.200000000000003" customHeight="1">
      <c r="A36" s="32" t="s">
        <v>372</v>
      </c>
      <c r="B36" s="32" t="s">
        <v>373</v>
      </c>
      <c r="C36" s="33" t="s">
        <v>374</v>
      </c>
      <c r="D36" s="98" t="s">
        <v>10</v>
      </c>
      <c r="E36" s="98">
        <v>127</v>
      </c>
      <c r="F36" s="98">
        <v>27.14</v>
      </c>
      <c r="G36" s="98">
        <v>3446.78</v>
      </c>
      <c r="H36" s="93">
        <f t="shared" si="0"/>
        <v>0</v>
      </c>
      <c r="I36" s="93">
        <f t="shared" si="1"/>
        <v>27.14</v>
      </c>
      <c r="J36" s="93">
        <f t="shared" si="2"/>
        <v>0</v>
      </c>
      <c r="K36" s="99">
        <f t="shared" si="3"/>
        <v>127</v>
      </c>
      <c r="L36" s="99">
        <f t="shared" si="4"/>
        <v>27.14</v>
      </c>
      <c r="M36" s="99">
        <f t="shared" si="5"/>
        <v>3446.78</v>
      </c>
    </row>
    <row r="37" spans="1:13" ht="40.200000000000003" customHeight="1">
      <c r="A37" s="32" t="s">
        <v>375</v>
      </c>
      <c r="B37" s="32" t="s">
        <v>373</v>
      </c>
      <c r="C37" s="33" t="s">
        <v>376</v>
      </c>
      <c r="D37" s="98" t="s">
        <v>10</v>
      </c>
      <c r="E37" s="98">
        <v>3</v>
      </c>
      <c r="F37" s="98">
        <v>27.14</v>
      </c>
      <c r="G37" s="98">
        <v>81.42</v>
      </c>
      <c r="H37" s="93">
        <f t="shared" si="0"/>
        <v>0</v>
      </c>
      <c r="I37" s="93">
        <f t="shared" si="1"/>
        <v>27.14</v>
      </c>
      <c r="J37" s="93">
        <f t="shared" si="2"/>
        <v>0</v>
      </c>
      <c r="K37" s="99">
        <f t="shared" si="3"/>
        <v>3</v>
      </c>
      <c r="L37" s="99">
        <f t="shared" si="4"/>
        <v>27.14</v>
      </c>
      <c r="M37" s="99">
        <f t="shared" si="5"/>
        <v>81.42</v>
      </c>
    </row>
    <row r="38" spans="1:13" ht="40.200000000000003" customHeight="1">
      <c r="A38" s="32" t="s">
        <v>377</v>
      </c>
      <c r="B38" s="32" t="s">
        <v>378</v>
      </c>
      <c r="C38" s="33" t="s">
        <v>379</v>
      </c>
      <c r="D38" s="98" t="s">
        <v>10</v>
      </c>
      <c r="E38" s="98">
        <v>8</v>
      </c>
      <c r="F38" s="98">
        <v>41.17</v>
      </c>
      <c r="G38" s="98">
        <v>329.36</v>
      </c>
      <c r="H38" s="93">
        <f t="shared" si="0"/>
        <v>0</v>
      </c>
      <c r="I38" s="93">
        <f t="shared" si="1"/>
        <v>41.17</v>
      </c>
      <c r="J38" s="93">
        <f t="shared" si="2"/>
        <v>0</v>
      </c>
      <c r="K38" s="99">
        <f t="shared" si="3"/>
        <v>8</v>
      </c>
      <c r="L38" s="99">
        <f t="shared" si="4"/>
        <v>41.17</v>
      </c>
      <c r="M38" s="99">
        <f t="shared" si="5"/>
        <v>329.36</v>
      </c>
    </row>
    <row r="39" spans="1:13" ht="40.200000000000003" customHeight="1">
      <c r="A39" s="32" t="s">
        <v>380</v>
      </c>
      <c r="B39" s="32" t="s">
        <v>381</v>
      </c>
      <c r="C39" s="33" t="s">
        <v>382</v>
      </c>
      <c r="D39" s="98" t="s">
        <v>10</v>
      </c>
      <c r="E39" s="98">
        <v>7</v>
      </c>
      <c r="F39" s="98">
        <v>70.5</v>
      </c>
      <c r="G39" s="98">
        <v>493.5</v>
      </c>
      <c r="H39" s="93">
        <f t="shared" si="0"/>
        <v>0</v>
      </c>
      <c r="I39" s="93">
        <f t="shared" si="1"/>
        <v>70.5</v>
      </c>
      <c r="J39" s="93">
        <f t="shared" si="2"/>
        <v>0</v>
      </c>
      <c r="K39" s="99">
        <f t="shared" si="3"/>
        <v>7</v>
      </c>
      <c r="L39" s="99">
        <f t="shared" si="4"/>
        <v>70.5</v>
      </c>
      <c r="M39" s="99">
        <f t="shared" si="5"/>
        <v>493.5</v>
      </c>
    </row>
    <row r="40" spans="1:13" ht="40.200000000000003" customHeight="1">
      <c r="A40" s="32" t="s">
        <v>383</v>
      </c>
      <c r="B40" s="32" t="s">
        <v>384</v>
      </c>
      <c r="C40" s="33" t="s">
        <v>385</v>
      </c>
      <c r="D40" s="98" t="s">
        <v>116</v>
      </c>
      <c r="E40" s="98">
        <v>40</v>
      </c>
      <c r="F40" s="98">
        <v>75.849999999999994</v>
      </c>
      <c r="G40" s="98">
        <v>3034</v>
      </c>
      <c r="H40" s="93">
        <f t="shared" si="0"/>
        <v>0</v>
      </c>
      <c r="I40" s="93">
        <f t="shared" si="1"/>
        <v>75.849999999999994</v>
      </c>
      <c r="J40" s="93">
        <f t="shared" si="2"/>
        <v>0</v>
      </c>
      <c r="K40" s="99">
        <f t="shared" si="3"/>
        <v>40</v>
      </c>
      <c r="L40" s="99">
        <f t="shared" si="4"/>
        <v>75.849999999999994</v>
      </c>
      <c r="M40" s="99">
        <f t="shared" si="5"/>
        <v>3034</v>
      </c>
    </row>
    <row r="41" spans="1:13" ht="40.200000000000003" customHeight="1">
      <c r="A41" s="32" t="s">
        <v>386</v>
      </c>
      <c r="B41" s="32" t="s">
        <v>387</v>
      </c>
      <c r="C41" s="33" t="s">
        <v>388</v>
      </c>
      <c r="D41" s="98" t="s">
        <v>15</v>
      </c>
      <c r="E41" s="98">
        <v>10</v>
      </c>
      <c r="F41" s="98">
        <v>41.06</v>
      </c>
      <c r="G41" s="98">
        <v>410.6</v>
      </c>
      <c r="H41" s="93">
        <f t="shared" si="0"/>
        <v>0</v>
      </c>
      <c r="I41" s="93">
        <f t="shared" si="1"/>
        <v>41.06</v>
      </c>
      <c r="J41" s="93">
        <f t="shared" si="2"/>
        <v>0</v>
      </c>
      <c r="K41" s="99">
        <f t="shared" si="3"/>
        <v>10</v>
      </c>
      <c r="L41" s="99">
        <f t="shared" si="4"/>
        <v>41.06</v>
      </c>
      <c r="M41" s="99">
        <f t="shared" si="5"/>
        <v>410.6</v>
      </c>
    </row>
    <row r="42" spans="1:13" ht="40.200000000000003" customHeight="1">
      <c r="A42" s="32" t="s">
        <v>389</v>
      </c>
      <c r="B42" s="32" t="s">
        <v>390</v>
      </c>
      <c r="C42" s="33" t="s">
        <v>391</v>
      </c>
      <c r="D42" s="98" t="s">
        <v>15</v>
      </c>
      <c r="E42" s="98">
        <v>10</v>
      </c>
      <c r="F42" s="98">
        <v>29.05</v>
      </c>
      <c r="G42" s="98">
        <v>290.5</v>
      </c>
      <c r="H42" s="93">
        <f t="shared" si="0"/>
        <v>0</v>
      </c>
      <c r="I42" s="93">
        <f t="shared" si="1"/>
        <v>29.05</v>
      </c>
      <c r="J42" s="93">
        <f t="shared" si="2"/>
        <v>0</v>
      </c>
      <c r="K42" s="99">
        <f t="shared" si="3"/>
        <v>10</v>
      </c>
      <c r="L42" s="99">
        <f t="shared" si="4"/>
        <v>29.05</v>
      </c>
      <c r="M42" s="99">
        <f t="shared" si="5"/>
        <v>290.5</v>
      </c>
    </row>
    <row r="43" spans="1:13" ht="40.200000000000003" customHeight="1">
      <c r="A43" s="32" t="s">
        <v>392</v>
      </c>
      <c r="B43" s="32" t="s">
        <v>393</v>
      </c>
      <c r="C43" s="33" t="s">
        <v>394</v>
      </c>
      <c r="D43" s="98" t="s">
        <v>10</v>
      </c>
      <c r="E43" s="98">
        <v>30</v>
      </c>
      <c r="F43" s="98">
        <v>50.41</v>
      </c>
      <c r="G43" s="98">
        <v>1512.3</v>
      </c>
      <c r="H43" s="93">
        <f t="shared" si="0"/>
        <v>0</v>
      </c>
      <c r="I43" s="93">
        <f t="shared" si="1"/>
        <v>50.41</v>
      </c>
      <c r="J43" s="93">
        <f t="shared" si="2"/>
        <v>0</v>
      </c>
      <c r="K43" s="99">
        <f t="shared" si="3"/>
        <v>30</v>
      </c>
      <c r="L43" s="99">
        <f t="shared" si="4"/>
        <v>50.41</v>
      </c>
      <c r="M43" s="99">
        <f t="shared" si="5"/>
        <v>1512.3</v>
      </c>
    </row>
    <row r="44" spans="1:13" ht="40.200000000000003" customHeight="1">
      <c r="A44" s="32" t="s">
        <v>395</v>
      </c>
      <c r="B44" s="32" t="s">
        <v>396</v>
      </c>
      <c r="C44" s="33" t="s">
        <v>397</v>
      </c>
      <c r="D44" s="98" t="s">
        <v>122</v>
      </c>
      <c r="E44" s="98">
        <v>1.5</v>
      </c>
      <c r="F44" s="98">
        <v>129.26</v>
      </c>
      <c r="G44" s="98">
        <v>193.89</v>
      </c>
      <c r="H44" s="93">
        <f t="shared" si="0"/>
        <v>0</v>
      </c>
      <c r="I44" s="93">
        <f t="shared" si="1"/>
        <v>129.26</v>
      </c>
      <c r="J44" s="93">
        <f t="shared" si="2"/>
        <v>0</v>
      </c>
      <c r="K44" s="99">
        <f t="shared" si="3"/>
        <v>1.5</v>
      </c>
      <c r="L44" s="99">
        <f t="shared" si="4"/>
        <v>129.26</v>
      </c>
      <c r="M44" s="99">
        <f t="shared" si="5"/>
        <v>193.89</v>
      </c>
    </row>
    <row r="45" spans="1:13" ht="40.200000000000003" customHeight="1">
      <c r="A45" s="32" t="s">
        <v>398</v>
      </c>
      <c r="B45" s="32" t="s">
        <v>399</v>
      </c>
      <c r="C45" s="33" t="s">
        <v>400</v>
      </c>
      <c r="D45" s="98" t="s">
        <v>122</v>
      </c>
      <c r="E45" s="98">
        <v>1.5</v>
      </c>
      <c r="F45" s="98">
        <v>25.33</v>
      </c>
      <c r="G45" s="98">
        <v>38</v>
      </c>
      <c r="H45" s="93">
        <f t="shared" si="0"/>
        <v>0</v>
      </c>
      <c r="I45" s="93">
        <f t="shared" si="1"/>
        <v>25.33</v>
      </c>
      <c r="J45" s="93">
        <f t="shared" si="2"/>
        <v>0</v>
      </c>
      <c r="K45" s="99">
        <f t="shared" si="3"/>
        <v>1.5</v>
      </c>
      <c r="L45" s="99">
        <f t="shared" si="4"/>
        <v>25.33</v>
      </c>
      <c r="M45" s="99">
        <f t="shared" si="5"/>
        <v>37.994999999999997</v>
      </c>
    </row>
    <row r="46" spans="1:13" ht="13.2" customHeight="1">
      <c r="A46" s="175" t="s">
        <v>711</v>
      </c>
      <c r="B46" s="176"/>
      <c r="C46" s="177"/>
      <c r="D46" s="31"/>
      <c r="E46" s="31"/>
      <c r="F46" s="31"/>
      <c r="G46" s="31">
        <f>SUM(G9:G45)</f>
        <v>67257.909999999989</v>
      </c>
      <c r="H46" s="31"/>
      <c r="I46" s="31"/>
      <c r="J46" s="31">
        <f>SUM(J9:J45)</f>
        <v>16405.82</v>
      </c>
      <c r="K46" s="31"/>
      <c r="L46" s="31"/>
      <c r="M46" s="31">
        <f>SUM(M9:M45)</f>
        <v>50852.084999999999</v>
      </c>
    </row>
    <row r="47" spans="1:13" ht="13.2">
      <c r="A47" s="29" t="s">
        <v>117</v>
      </c>
      <c r="B47" s="178" t="s">
        <v>672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80"/>
    </row>
    <row r="48" spans="1:13" ht="40.200000000000003" customHeight="1">
      <c r="A48" s="32" t="s">
        <v>401</v>
      </c>
      <c r="B48" s="32" t="s">
        <v>402</v>
      </c>
      <c r="C48" s="33" t="s">
        <v>403</v>
      </c>
      <c r="D48" s="98" t="s">
        <v>15</v>
      </c>
      <c r="E48" s="98">
        <v>146</v>
      </c>
      <c r="F48" s="98">
        <v>41.87</v>
      </c>
      <c r="G48" s="98">
        <v>6113.02</v>
      </c>
      <c r="H48" s="93">
        <f>E48-K48</f>
        <v>0</v>
      </c>
      <c r="I48" s="93">
        <f>F48</f>
        <v>41.87</v>
      </c>
      <c r="J48" s="93">
        <f>H48*I48</f>
        <v>0</v>
      </c>
      <c r="K48" s="99">
        <f>E48</f>
        <v>146</v>
      </c>
      <c r="L48" s="99">
        <f>F48</f>
        <v>41.87</v>
      </c>
      <c r="M48" s="99">
        <f>K48*L48</f>
        <v>6113.0199999999995</v>
      </c>
    </row>
    <row r="49" spans="1:13" ht="40.200000000000003" customHeight="1">
      <c r="A49" s="32" t="s">
        <v>404</v>
      </c>
      <c r="B49" s="32" t="s">
        <v>405</v>
      </c>
      <c r="C49" s="33" t="s">
        <v>406</v>
      </c>
      <c r="D49" s="98" t="s">
        <v>15</v>
      </c>
      <c r="E49" s="98">
        <v>220</v>
      </c>
      <c r="F49" s="98">
        <v>31.64</v>
      </c>
      <c r="G49" s="98">
        <v>6960.8</v>
      </c>
      <c r="H49" s="93">
        <f t="shared" ref="H49:H76" si="6">E49-K49</f>
        <v>0</v>
      </c>
      <c r="I49" s="93">
        <f t="shared" ref="I49:I76" si="7">F49</f>
        <v>31.64</v>
      </c>
      <c r="J49" s="93">
        <f t="shared" ref="J49:J76" si="8">H49*I49</f>
        <v>0</v>
      </c>
      <c r="K49" s="99">
        <f t="shared" ref="K49:K76" si="9">E49</f>
        <v>220</v>
      </c>
      <c r="L49" s="99">
        <f t="shared" ref="L49:L76" si="10">F49</f>
        <v>31.64</v>
      </c>
      <c r="M49" s="99">
        <f t="shared" ref="M49:M76" si="11">K49*L49</f>
        <v>6960.8</v>
      </c>
    </row>
    <row r="50" spans="1:13" ht="40.200000000000003" customHeight="1">
      <c r="A50" s="32" t="s">
        <v>407</v>
      </c>
      <c r="B50" s="32" t="s">
        <v>408</v>
      </c>
      <c r="C50" s="33" t="s">
        <v>409</v>
      </c>
      <c r="D50" s="98" t="s">
        <v>15</v>
      </c>
      <c r="E50" s="98">
        <v>55</v>
      </c>
      <c r="F50" s="98">
        <v>19.8</v>
      </c>
      <c r="G50" s="98">
        <v>1089</v>
      </c>
      <c r="H50" s="93">
        <f t="shared" si="6"/>
        <v>0</v>
      </c>
      <c r="I50" s="93">
        <f t="shared" si="7"/>
        <v>19.8</v>
      </c>
      <c r="J50" s="93">
        <f t="shared" si="8"/>
        <v>0</v>
      </c>
      <c r="K50" s="99">
        <f t="shared" si="9"/>
        <v>55</v>
      </c>
      <c r="L50" s="99">
        <f t="shared" si="10"/>
        <v>19.8</v>
      </c>
      <c r="M50" s="99">
        <f t="shared" si="11"/>
        <v>1089</v>
      </c>
    </row>
    <row r="51" spans="1:13" ht="40.200000000000003" customHeight="1">
      <c r="A51" s="32" t="s">
        <v>410</v>
      </c>
      <c r="B51" s="32" t="s">
        <v>411</v>
      </c>
      <c r="C51" s="33" t="s">
        <v>412</v>
      </c>
      <c r="D51" s="98" t="s">
        <v>10</v>
      </c>
      <c r="E51" s="98">
        <v>4</v>
      </c>
      <c r="F51" s="98">
        <v>34.58</v>
      </c>
      <c r="G51" s="98">
        <v>138.32</v>
      </c>
      <c r="H51" s="93">
        <f t="shared" si="6"/>
        <v>0</v>
      </c>
      <c r="I51" s="93">
        <f t="shared" si="7"/>
        <v>34.58</v>
      </c>
      <c r="J51" s="93">
        <f t="shared" si="8"/>
        <v>0</v>
      </c>
      <c r="K51" s="99">
        <f t="shared" si="9"/>
        <v>4</v>
      </c>
      <c r="L51" s="99">
        <f t="shared" si="10"/>
        <v>34.58</v>
      </c>
      <c r="M51" s="99">
        <f t="shared" si="11"/>
        <v>138.32</v>
      </c>
    </row>
    <row r="52" spans="1:13" ht="40.200000000000003" customHeight="1">
      <c r="A52" s="32" t="s">
        <v>413</v>
      </c>
      <c r="B52" s="32" t="s">
        <v>414</v>
      </c>
      <c r="C52" s="33" t="s">
        <v>415</v>
      </c>
      <c r="D52" s="98" t="s">
        <v>10</v>
      </c>
      <c r="E52" s="98">
        <v>3</v>
      </c>
      <c r="F52" s="98">
        <v>25.15</v>
      </c>
      <c r="G52" s="98">
        <v>75.45</v>
      </c>
      <c r="H52" s="93">
        <f t="shared" si="6"/>
        <v>0</v>
      </c>
      <c r="I52" s="93">
        <f t="shared" si="7"/>
        <v>25.15</v>
      </c>
      <c r="J52" s="93">
        <f t="shared" si="8"/>
        <v>0</v>
      </c>
      <c r="K52" s="99">
        <f t="shared" si="9"/>
        <v>3</v>
      </c>
      <c r="L52" s="99">
        <f t="shared" si="10"/>
        <v>25.15</v>
      </c>
      <c r="M52" s="99">
        <f t="shared" si="11"/>
        <v>75.449999999999989</v>
      </c>
    </row>
    <row r="53" spans="1:13" ht="40.200000000000003" customHeight="1">
      <c r="A53" s="32" t="s">
        <v>416</v>
      </c>
      <c r="B53" s="32" t="s">
        <v>417</v>
      </c>
      <c r="C53" s="33" t="s">
        <v>418</v>
      </c>
      <c r="D53" s="98" t="s">
        <v>16</v>
      </c>
      <c r="E53" s="98">
        <v>36</v>
      </c>
      <c r="F53" s="98">
        <v>276.7</v>
      </c>
      <c r="G53" s="98">
        <v>9961.2000000000007</v>
      </c>
      <c r="H53" s="93">
        <f t="shared" si="6"/>
        <v>36</v>
      </c>
      <c r="I53" s="93">
        <f t="shared" si="7"/>
        <v>276.7</v>
      </c>
      <c r="J53" s="93">
        <f t="shared" si="8"/>
        <v>9961.1999999999989</v>
      </c>
      <c r="K53" s="99">
        <v>0</v>
      </c>
      <c r="L53" s="99">
        <f t="shared" si="10"/>
        <v>276.7</v>
      </c>
      <c r="M53" s="99">
        <f t="shared" si="11"/>
        <v>0</v>
      </c>
    </row>
    <row r="54" spans="1:13" ht="40.200000000000003" customHeight="1">
      <c r="A54" s="32" t="s">
        <v>419</v>
      </c>
      <c r="B54" s="32" t="s">
        <v>417</v>
      </c>
      <c r="C54" s="33" t="s">
        <v>420</v>
      </c>
      <c r="D54" s="98" t="s">
        <v>16</v>
      </c>
      <c r="E54" s="98">
        <v>1</v>
      </c>
      <c r="F54" s="98">
        <v>554.88</v>
      </c>
      <c r="G54" s="98">
        <v>554.88</v>
      </c>
      <c r="H54" s="93">
        <f t="shared" si="6"/>
        <v>1</v>
      </c>
      <c r="I54" s="93">
        <f t="shared" si="7"/>
        <v>554.88</v>
      </c>
      <c r="J54" s="93">
        <f t="shared" si="8"/>
        <v>554.88</v>
      </c>
      <c r="K54" s="99">
        <v>0</v>
      </c>
      <c r="L54" s="99">
        <f t="shared" si="10"/>
        <v>554.88</v>
      </c>
      <c r="M54" s="99">
        <f t="shared" si="11"/>
        <v>0</v>
      </c>
    </row>
    <row r="55" spans="1:13" ht="40.200000000000003" customHeight="1">
      <c r="A55" s="32" t="s">
        <v>421</v>
      </c>
      <c r="B55" s="32" t="s">
        <v>422</v>
      </c>
      <c r="C55" s="33" t="s">
        <v>423</v>
      </c>
      <c r="D55" s="98" t="s">
        <v>16</v>
      </c>
      <c r="E55" s="98">
        <v>36</v>
      </c>
      <c r="F55" s="98">
        <v>154.13999999999999</v>
      </c>
      <c r="G55" s="98">
        <v>5549.04</v>
      </c>
      <c r="H55" s="93">
        <f t="shared" si="6"/>
        <v>36</v>
      </c>
      <c r="I55" s="93">
        <f t="shared" si="7"/>
        <v>154.13999999999999</v>
      </c>
      <c r="J55" s="93">
        <f t="shared" si="8"/>
        <v>5549.0399999999991</v>
      </c>
      <c r="K55" s="99">
        <v>0</v>
      </c>
      <c r="L55" s="99">
        <f t="shared" si="10"/>
        <v>154.13999999999999</v>
      </c>
      <c r="M55" s="99">
        <f t="shared" si="11"/>
        <v>0</v>
      </c>
    </row>
    <row r="56" spans="1:13" ht="40.200000000000003" customHeight="1">
      <c r="A56" s="32" t="s">
        <v>424</v>
      </c>
      <c r="B56" s="32" t="s">
        <v>422</v>
      </c>
      <c r="C56" s="33" t="s">
        <v>425</v>
      </c>
      <c r="D56" s="98" t="s">
        <v>16</v>
      </c>
      <c r="E56" s="98">
        <v>1</v>
      </c>
      <c r="F56" s="98">
        <v>206.39</v>
      </c>
      <c r="G56" s="98">
        <v>206.39</v>
      </c>
      <c r="H56" s="93">
        <f t="shared" si="6"/>
        <v>1</v>
      </c>
      <c r="I56" s="93">
        <f t="shared" si="7"/>
        <v>206.39</v>
      </c>
      <c r="J56" s="93">
        <f t="shared" si="8"/>
        <v>206.39</v>
      </c>
      <c r="K56" s="99">
        <v>0</v>
      </c>
      <c r="L56" s="99">
        <f t="shared" si="10"/>
        <v>206.39</v>
      </c>
      <c r="M56" s="99">
        <f t="shared" si="11"/>
        <v>0</v>
      </c>
    </row>
    <row r="57" spans="1:13" ht="40.200000000000003" customHeight="1">
      <c r="A57" s="32" t="s">
        <v>426</v>
      </c>
      <c r="B57" s="32" t="s">
        <v>427</v>
      </c>
      <c r="C57" s="33" t="s">
        <v>428</v>
      </c>
      <c r="D57" s="98" t="s">
        <v>16</v>
      </c>
      <c r="E57" s="98">
        <v>7</v>
      </c>
      <c r="F57" s="98">
        <v>651.85</v>
      </c>
      <c r="G57" s="98">
        <v>4562.95</v>
      </c>
      <c r="H57" s="93">
        <f t="shared" si="6"/>
        <v>7</v>
      </c>
      <c r="I57" s="93">
        <f t="shared" si="7"/>
        <v>651.85</v>
      </c>
      <c r="J57" s="93">
        <f t="shared" si="8"/>
        <v>4562.95</v>
      </c>
      <c r="K57" s="99">
        <v>0</v>
      </c>
      <c r="L57" s="99">
        <f t="shared" si="10"/>
        <v>651.85</v>
      </c>
      <c r="M57" s="99">
        <f t="shared" si="11"/>
        <v>0</v>
      </c>
    </row>
    <row r="58" spans="1:13" ht="40.200000000000003" customHeight="1">
      <c r="A58" s="32" t="s">
        <v>429</v>
      </c>
      <c r="B58" s="32" t="s">
        <v>427</v>
      </c>
      <c r="C58" s="33" t="s">
        <v>430</v>
      </c>
      <c r="D58" s="98" t="s">
        <v>16</v>
      </c>
      <c r="E58" s="98">
        <v>1</v>
      </c>
      <c r="F58" s="98">
        <v>1429.88</v>
      </c>
      <c r="G58" s="98">
        <v>1429.88</v>
      </c>
      <c r="H58" s="93">
        <f t="shared" si="6"/>
        <v>1</v>
      </c>
      <c r="I58" s="93">
        <f t="shared" si="7"/>
        <v>1429.88</v>
      </c>
      <c r="J58" s="93">
        <f t="shared" si="8"/>
        <v>1429.88</v>
      </c>
      <c r="K58" s="99">
        <v>0</v>
      </c>
      <c r="L58" s="99">
        <f t="shared" si="10"/>
        <v>1429.88</v>
      </c>
      <c r="M58" s="99">
        <f t="shared" si="11"/>
        <v>0</v>
      </c>
    </row>
    <row r="59" spans="1:13" ht="40.200000000000003" customHeight="1">
      <c r="A59" s="32" t="s">
        <v>431</v>
      </c>
      <c r="B59" s="32" t="s">
        <v>432</v>
      </c>
      <c r="C59" s="33" t="s">
        <v>433</v>
      </c>
      <c r="D59" s="98" t="s">
        <v>16</v>
      </c>
      <c r="E59" s="98">
        <v>1</v>
      </c>
      <c r="F59" s="98">
        <v>522.42999999999995</v>
      </c>
      <c r="G59" s="98">
        <v>522.42999999999995</v>
      </c>
      <c r="H59" s="93">
        <f t="shared" si="6"/>
        <v>1</v>
      </c>
      <c r="I59" s="93">
        <f t="shared" si="7"/>
        <v>522.42999999999995</v>
      </c>
      <c r="J59" s="93">
        <f t="shared" si="8"/>
        <v>522.42999999999995</v>
      </c>
      <c r="K59" s="99">
        <v>0</v>
      </c>
      <c r="L59" s="99">
        <f t="shared" si="10"/>
        <v>522.42999999999995</v>
      </c>
      <c r="M59" s="99">
        <f t="shared" si="11"/>
        <v>0</v>
      </c>
    </row>
    <row r="60" spans="1:13" ht="40.200000000000003" customHeight="1">
      <c r="A60" s="32" t="s">
        <v>434</v>
      </c>
      <c r="B60" s="32" t="s">
        <v>435</v>
      </c>
      <c r="C60" s="33" t="s">
        <v>436</v>
      </c>
      <c r="D60" s="98" t="s">
        <v>16</v>
      </c>
      <c r="E60" s="98">
        <v>1</v>
      </c>
      <c r="F60" s="98">
        <v>682.64</v>
      </c>
      <c r="G60" s="98">
        <v>682.64</v>
      </c>
      <c r="H60" s="93">
        <f t="shared" si="6"/>
        <v>1</v>
      </c>
      <c r="I60" s="93">
        <f t="shared" si="7"/>
        <v>682.64</v>
      </c>
      <c r="J60" s="93">
        <f t="shared" si="8"/>
        <v>682.64</v>
      </c>
      <c r="K60" s="99">
        <v>0</v>
      </c>
      <c r="L60" s="99">
        <f t="shared" si="10"/>
        <v>682.64</v>
      </c>
      <c r="M60" s="99">
        <f t="shared" si="11"/>
        <v>0</v>
      </c>
    </row>
    <row r="61" spans="1:13" ht="40.200000000000003" customHeight="1">
      <c r="A61" s="32" t="s">
        <v>437</v>
      </c>
      <c r="B61" s="32" t="s">
        <v>438</v>
      </c>
      <c r="C61" s="33" t="s">
        <v>439</v>
      </c>
      <c r="D61" s="98" t="s">
        <v>16</v>
      </c>
      <c r="E61" s="98">
        <v>3</v>
      </c>
      <c r="F61" s="98">
        <v>445.42</v>
      </c>
      <c r="G61" s="98">
        <v>1336.26</v>
      </c>
      <c r="H61" s="93">
        <f t="shared" si="6"/>
        <v>3</v>
      </c>
      <c r="I61" s="93">
        <f t="shared" si="7"/>
        <v>445.42</v>
      </c>
      <c r="J61" s="93">
        <f t="shared" si="8"/>
        <v>1336.26</v>
      </c>
      <c r="K61" s="99">
        <v>0</v>
      </c>
      <c r="L61" s="99">
        <f t="shared" si="10"/>
        <v>445.42</v>
      </c>
      <c r="M61" s="99">
        <f t="shared" si="11"/>
        <v>0</v>
      </c>
    </row>
    <row r="62" spans="1:13" ht="40.200000000000003" customHeight="1">
      <c r="A62" s="32" t="s">
        <v>440</v>
      </c>
      <c r="B62" s="32" t="s">
        <v>438</v>
      </c>
      <c r="C62" s="33" t="s">
        <v>441</v>
      </c>
      <c r="D62" s="98" t="s">
        <v>16</v>
      </c>
      <c r="E62" s="98">
        <v>3</v>
      </c>
      <c r="F62" s="98">
        <v>669.45</v>
      </c>
      <c r="G62" s="98">
        <v>2008.35</v>
      </c>
      <c r="H62" s="93">
        <f t="shared" si="6"/>
        <v>3</v>
      </c>
      <c r="I62" s="93">
        <f t="shared" si="7"/>
        <v>669.45</v>
      </c>
      <c r="J62" s="93">
        <f t="shared" si="8"/>
        <v>2008.3500000000001</v>
      </c>
      <c r="K62" s="99">
        <v>0</v>
      </c>
      <c r="L62" s="99">
        <f t="shared" si="10"/>
        <v>669.45</v>
      </c>
      <c r="M62" s="99">
        <f t="shared" si="11"/>
        <v>0</v>
      </c>
    </row>
    <row r="63" spans="1:13" ht="40.200000000000003" customHeight="1">
      <c r="A63" s="32" t="s">
        <v>442</v>
      </c>
      <c r="B63" s="32" t="s">
        <v>443</v>
      </c>
      <c r="C63" s="33" t="s">
        <v>444</v>
      </c>
      <c r="D63" s="98" t="s">
        <v>10</v>
      </c>
      <c r="E63" s="98">
        <v>5</v>
      </c>
      <c r="F63" s="98">
        <v>328.53</v>
      </c>
      <c r="G63" s="98">
        <v>1642.65</v>
      </c>
      <c r="H63" s="93">
        <f t="shared" si="6"/>
        <v>5</v>
      </c>
      <c r="I63" s="93">
        <f t="shared" si="7"/>
        <v>328.53</v>
      </c>
      <c r="J63" s="93">
        <f t="shared" si="8"/>
        <v>1642.6499999999999</v>
      </c>
      <c r="K63" s="99">
        <v>0</v>
      </c>
      <c r="L63" s="99">
        <f t="shared" si="10"/>
        <v>328.53</v>
      </c>
      <c r="M63" s="99">
        <f t="shared" si="11"/>
        <v>0</v>
      </c>
    </row>
    <row r="64" spans="1:13" ht="40.200000000000003" customHeight="1">
      <c r="A64" s="32" t="s">
        <v>445</v>
      </c>
      <c r="B64" s="32" t="s">
        <v>443</v>
      </c>
      <c r="C64" s="33" t="s">
        <v>446</v>
      </c>
      <c r="D64" s="98" t="s">
        <v>10</v>
      </c>
      <c r="E64" s="98">
        <v>5</v>
      </c>
      <c r="F64" s="98">
        <v>354.44</v>
      </c>
      <c r="G64" s="98">
        <v>1772.2</v>
      </c>
      <c r="H64" s="93">
        <f t="shared" si="6"/>
        <v>5</v>
      </c>
      <c r="I64" s="93">
        <f t="shared" si="7"/>
        <v>354.44</v>
      </c>
      <c r="J64" s="93">
        <f t="shared" si="8"/>
        <v>1772.2</v>
      </c>
      <c r="K64" s="99">
        <v>0</v>
      </c>
      <c r="L64" s="99">
        <f t="shared" si="10"/>
        <v>354.44</v>
      </c>
      <c r="M64" s="99">
        <f t="shared" si="11"/>
        <v>0</v>
      </c>
    </row>
    <row r="65" spans="1:13" ht="40.200000000000003" customHeight="1">
      <c r="A65" s="32" t="s">
        <v>447</v>
      </c>
      <c r="B65" s="32" t="s">
        <v>443</v>
      </c>
      <c r="C65" s="33" t="s">
        <v>448</v>
      </c>
      <c r="D65" s="98" t="s">
        <v>10</v>
      </c>
      <c r="E65" s="98">
        <v>2</v>
      </c>
      <c r="F65" s="98">
        <v>408.22</v>
      </c>
      <c r="G65" s="98">
        <v>816.44</v>
      </c>
      <c r="H65" s="93">
        <f t="shared" si="6"/>
        <v>2</v>
      </c>
      <c r="I65" s="93">
        <f t="shared" si="7"/>
        <v>408.22</v>
      </c>
      <c r="J65" s="93">
        <f t="shared" si="8"/>
        <v>816.44</v>
      </c>
      <c r="K65" s="99">
        <v>0</v>
      </c>
      <c r="L65" s="99">
        <f t="shared" si="10"/>
        <v>408.22</v>
      </c>
      <c r="M65" s="99">
        <f t="shared" si="11"/>
        <v>0</v>
      </c>
    </row>
    <row r="66" spans="1:13" ht="40.200000000000003" customHeight="1">
      <c r="A66" s="32" t="s">
        <v>449</v>
      </c>
      <c r="B66" s="32" t="s">
        <v>443</v>
      </c>
      <c r="C66" s="33" t="s">
        <v>450</v>
      </c>
      <c r="D66" s="98" t="s">
        <v>10</v>
      </c>
      <c r="E66" s="98">
        <v>1</v>
      </c>
      <c r="F66" s="98">
        <v>708.14</v>
      </c>
      <c r="G66" s="98">
        <v>708.14</v>
      </c>
      <c r="H66" s="93">
        <f t="shared" si="6"/>
        <v>1</v>
      </c>
      <c r="I66" s="93">
        <f t="shared" si="7"/>
        <v>708.14</v>
      </c>
      <c r="J66" s="93">
        <f t="shared" si="8"/>
        <v>708.14</v>
      </c>
      <c r="K66" s="99">
        <v>0</v>
      </c>
      <c r="L66" s="99">
        <f t="shared" si="10"/>
        <v>708.14</v>
      </c>
      <c r="M66" s="99">
        <f t="shared" si="11"/>
        <v>0</v>
      </c>
    </row>
    <row r="67" spans="1:13" ht="40.200000000000003" customHeight="1">
      <c r="A67" s="32" t="s">
        <v>451</v>
      </c>
      <c r="B67" s="32" t="s">
        <v>452</v>
      </c>
      <c r="C67" s="33" t="s">
        <v>453</v>
      </c>
      <c r="D67" s="98" t="s">
        <v>10</v>
      </c>
      <c r="E67" s="98">
        <v>10</v>
      </c>
      <c r="F67" s="98">
        <v>23.57</v>
      </c>
      <c r="G67" s="98">
        <v>235.7</v>
      </c>
      <c r="H67" s="93">
        <f t="shared" si="6"/>
        <v>10</v>
      </c>
      <c r="I67" s="93">
        <f t="shared" si="7"/>
        <v>23.57</v>
      </c>
      <c r="J67" s="93">
        <f t="shared" si="8"/>
        <v>235.7</v>
      </c>
      <c r="K67" s="99">
        <v>0</v>
      </c>
      <c r="L67" s="99">
        <f t="shared" si="10"/>
        <v>23.57</v>
      </c>
      <c r="M67" s="99">
        <f t="shared" si="11"/>
        <v>0</v>
      </c>
    </row>
    <row r="68" spans="1:13" ht="40.200000000000003" customHeight="1">
      <c r="A68" s="32" t="s">
        <v>454</v>
      </c>
      <c r="B68" s="32" t="s">
        <v>452</v>
      </c>
      <c r="C68" s="33" t="s">
        <v>455</v>
      </c>
      <c r="D68" s="98" t="s">
        <v>10</v>
      </c>
      <c r="E68" s="98">
        <v>3</v>
      </c>
      <c r="F68" s="98">
        <v>28.21</v>
      </c>
      <c r="G68" s="98">
        <v>84.63</v>
      </c>
      <c r="H68" s="93">
        <f t="shared" si="6"/>
        <v>3</v>
      </c>
      <c r="I68" s="93">
        <f t="shared" si="7"/>
        <v>28.21</v>
      </c>
      <c r="J68" s="93">
        <f t="shared" si="8"/>
        <v>84.63</v>
      </c>
      <c r="K68" s="99">
        <v>0</v>
      </c>
      <c r="L68" s="99">
        <f t="shared" si="10"/>
        <v>28.21</v>
      </c>
      <c r="M68" s="99">
        <f t="shared" si="11"/>
        <v>0</v>
      </c>
    </row>
    <row r="69" spans="1:13" ht="40.200000000000003" customHeight="1">
      <c r="A69" s="32" t="s">
        <v>456</v>
      </c>
      <c r="B69" s="32" t="s">
        <v>452</v>
      </c>
      <c r="C69" s="33" t="s">
        <v>457</v>
      </c>
      <c r="D69" s="98" t="s">
        <v>10</v>
      </c>
      <c r="E69" s="98">
        <v>3</v>
      </c>
      <c r="F69" s="98">
        <v>21</v>
      </c>
      <c r="G69" s="98">
        <v>63</v>
      </c>
      <c r="H69" s="93">
        <f t="shared" si="6"/>
        <v>3</v>
      </c>
      <c r="I69" s="93">
        <f t="shared" si="7"/>
        <v>21</v>
      </c>
      <c r="J69" s="93">
        <f t="shared" si="8"/>
        <v>63</v>
      </c>
      <c r="K69" s="99">
        <v>0</v>
      </c>
      <c r="L69" s="99">
        <f t="shared" si="10"/>
        <v>21</v>
      </c>
      <c r="M69" s="99">
        <f t="shared" si="11"/>
        <v>0</v>
      </c>
    </row>
    <row r="70" spans="1:13" ht="40.200000000000003" customHeight="1">
      <c r="A70" s="32" t="s">
        <v>458</v>
      </c>
      <c r="B70" s="32" t="s">
        <v>459</v>
      </c>
      <c r="C70" s="33" t="s">
        <v>460</v>
      </c>
      <c r="D70" s="98" t="s">
        <v>461</v>
      </c>
      <c r="E70" s="98">
        <v>8</v>
      </c>
      <c r="F70" s="98">
        <v>97.71</v>
      </c>
      <c r="G70" s="98">
        <v>781.68</v>
      </c>
      <c r="H70" s="93">
        <f t="shared" si="6"/>
        <v>0</v>
      </c>
      <c r="I70" s="93">
        <f t="shared" si="7"/>
        <v>97.71</v>
      </c>
      <c r="J70" s="93">
        <f t="shared" si="8"/>
        <v>0</v>
      </c>
      <c r="K70" s="99">
        <f t="shared" si="9"/>
        <v>8</v>
      </c>
      <c r="L70" s="99">
        <f t="shared" si="10"/>
        <v>97.71</v>
      </c>
      <c r="M70" s="99">
        <f t="shared" si="11"/>
        <v>781.68</v>
      </c>
    </row>
    <row r="71" spans="1:13" ht="40.200000000000003" customHeight="1">
      <c r="A71" s="32" t="s">
        <v>462</v>
      </c>
      <c r="B71" s="32" t="s">
        <v>463</v>
      </c>
      <c r="C71" s="33" t="s">
        <v>464</v>
      </c>
      <c r="D71" s="98" t="s">
        <v>461</v>
      </c>
      <c r="E71" s="98">
        <v>55</v>
      </c>
      <c r="F71" s="98">
        <v>41.45</v>
      </c>
      <c r="G71" s="98">
        <v>2279.75</v>
      </c>
      <c r="H71" s="93">
        <f t="shared" si="6"/>
        <v>0</v>
      </c>
      <c r="I71" s="93">
        <f t="shared" si="7"/>
        <v>41.45</v>
      </c>
      <c r="J71" s="93">
        <f t="shared" si="8"/>
        <v>0</v>
      </c>
      <c r="K71" s="99">
        <f t="shared" si="9"/>
        <v>55</v>
      </c>
      <c r="L71" s="99">
        <f t="shared" si="10"/>
        <v>41.45</v>
      </c>
      <c r="M71" s="99">
        <f t="shared" si="11"/>
        <v>2279.75</v>
      </c>
    </row>
    <row r="72" spans="1:13" ht="40.200000000000003" customHeight="1">
      <c r="A72" s="32" t="s">
        <v>465</v>
      </c>
      <c r="B72" s="32" t="s">
        <v>463</v>
      </c>
      <c r="C72" s="33" t="s">
        <v>466</v>
      </c>
      <c r="D72" s="98" t="s">
        <v>461</v>
      </c>
      <c r="E72" s="98">
        <v>3</v>
      </c>
      <c r="F72" s="98">
        <v>41.45</v>
      </c>
      <c r="G72" s="98">
        <v>124.35</v>
      </c>
      <c r="H72" s="93">
        <f t="shared" si="6"/>
        <v>0</v>
      </c>
      <c r="I72" s="93">
        <f t="shared" si="7"/>
        <v>41.45</v>
      </c>
      <c r="J72" s="93">
        <f t="shared" si="8"/>
        <v>0</v>
      </c>
      <c r="K72" s="99">
        <f t="shared" si="9"/>
        <v>3</v>
      </c>
      <c r="L72" s="99">
        <f t="shared" si="10"/>
        <v>41.45</v>
      </c>
      <c r="M72" s="99">
        <f t="shared" si="11"/>
        <v>124.35000000000001</v>
      </c>
    </row>
    <row r="73" spans="1:13" ht="40.200000000000003" customHeight="1">
      <c r="A73" s="32" t="s">
        <v>467</v>
      </c>
      <c r="B73" s="32" t="s">
        <v>393</v>
      </c>
      <c r="C73" s="33" t="s">
        <v>468</v>
      </c>
      <c r="D73" s="98" t="s">
        <v>10</v>
      </c>
      <c r="E73" s="98">
        <v>7</v>
      </c>
      <c r="F73" s="98">
        <v>408.06</v>
      </c>
      <c r="G73" s="98">
        <v>2856.42</v>
      </c>
      <c r="H73" s="93">
        <f t="shared" si="6"/>
        <v>0</v>
      </c>
      <c r="I73" s="93">
        <f t="shared" si="7"/>
        <v>408.06</v>
      </c>
      <c r="J73" s="93">
        <f t="shared" si="8"/>
        <v>0</v>
      </c>
      <c r="K73" s="99">
        <f t="shared" si="9"/>
        <v>7</v>
      </c>
      <c r="L73" s="99">
        <f t="shared" si="10"/>
        <v>408.06</v>
      </c>
      <c r="M73" s="99">
        <f t="shared" si="11"/>
        <v>2856.42</v>
      </c>
    </row>
    <row r="74" spans="1:13" ht="40.200000000000003" customHeight="1">
      <c r="A74" s="32" t="s">
        <v>469</v>
      </c>
      <c r="B74" s="32" t="s">
        <v>384</v>
      </c>
      <c r="C74" s="33" t="s">
        <v>385</v>
      </c>
      <c r="D74" s="98" t="s">
        <v>116</v>
      </c>
      <c r="E74" s="98">
        <v>20</v>
      </c>
      <c r="F74" s="98">
        <v>75.849999999999994</v>
      </c>
      <c r="G74" s="98">
        <v>1517</v>
      </c>
      <c r="H74" s="93">
        <f t="shared" si="6"/>
        <v>0</v>
      </c>
      <c r="I74" s="93">
        <f t="shared" si="7"/>
        <v>75.849999999999994</v>
      </c>
      <c r="J74" s="93">
        <f t="shared" si="8"/>
        <v>0</v>
      </c>
      <c r="K74" s="99">
        <f t="shared" si="9"/>
        <v>20</v>
      </c>
      <c r="L74" s="99">
        <f t="shared" si="10"/>
        <v>75.849999999999994</v>
      </c>
      <c r="M74" s="99">
        <f t="shared" si="11"/>
        <v>1517</v>
      </c>
    </row>
    <row r="75" spans="1:13" ht="40.200000000000003" customHeight="1">
      <c r="A75" s="32" t="s">
        <v>470</v>
      </c>
      <c r="B75" s="32" t="s">
        <v>396</v>
      </c>
      <c r="C75" s="33" t="s">
        <v>397</v>
      </c>
      <c r="D75" s="98" t="s">
        <v>122</v>
      </c>
      <c r="E75" s="98">
        <v>1.5</v>
      </c>
      <c r="F75" s="98">
        <v>129.26</v>
      </c>
      <c r="G75" s="98">
        <v>193.89</v>
      </c>
      <c r="H75" s="93">
        <f t="shared" si="6"/>
        <v>0</v>
      </c>
      <c r="I75" s="93">
        <f t="shared" si="7"/>
        <v>129.26</v>
      </c>
      <c r="J75" s="93">
        <f t="shared" si="8"/>
        <v>0</v>
      </c>
      <c r="K75" s="99">
        <f t="shared" si="9"/>
        <v>1.5</v>
      </c>
      <c r="L75" s="99">
        <f t="shared" si="10"/>
        <v>129.26</v>
      </c>
      <c r="M75" s="99">
        <f t="shared" si="11"/>
        <v>193.89</v>
      </c>
    </row>
    <row r="76" spans="1:13" ht="40.200000000000003" customHeight="1">
      <c r="A76" s="32" t="s">
        <v>471</v>
      </c>
      <c r="B76" s="32" t="s">
        <v>399</v>
      </c>
      <c r="C76" s="33" t="s">
        <v>400</v>
      </c>
      <c r="D76" s="98" t="s">
        <v>122</v>
      </c>
      <c r="E76" s="98">
        <v>1.5</v>
      </c>
      <c r="F76" s="98">
        <v>25.33</v>
      </c>
      <c r="G76" s="98">
        <v>38</v>
      </c>
      <c r="H76" s="93">
        <f t="shared" si="6"/>
        <v>0</v>
      </c>
      <c r="I76" s="93">
        <f t="shared" si="7"/>
        <v>25.33</v>
      </c>
      <c r="J76" s="93">
        <f t="shared" si="8"/>
        <v>0</v>
      </c>
      <c r="K76" s="99">
        <f t="shared" si="9"/>
        <v>1.5</v>
      </c>
      <c r="L76" s="99">
        <f t="shared" si="10"/>
        <v>25.33</v>
      </c>
      <c r="M76" s="99">
        <f t="shared" si="11"/>
        <v>37.994999999999997</v>
      </c>
    </row>
    <row r="77" spans="1:13" ht="40.200000000000003" customHeight="1">
      <c r="A77" s="175" t="s">
        <v>712</v>
      </c>
      <c r="B77" s="176"/>
      <c r="C77" s="177"/>
      <c r="D77" s="31"/>
      <c r="E77" s="31"/>
      <c r="F77" s="31"/>
      <c r="G77" s="31">
        <f>SUM(G48:G76)</f>
        <v>54304.459999999992</v>
      </c>
      <c r="H77" s="31"/>
      <c r="I77" s="31"/>
      <c r="J77" s="31">
        <f>SUM(J48:J76)</f>
        <v>32136.779999999995</v>
      </c>
      <c r="K77" s="31"/>
      <c r="L77" s="31"/>
      <c r="M77" s="31">
        <f>SUM(M48:M76)</f>
        <v>22167.674999999999</v>
      </c>
    </row>
    <row r="78" spans="1:13" ht="40.200000000000003" customHeight="1">
      <c r="A78" s="29" t="s">
        <v>120</v>
      </c>
      <c r="B78" s="178" t="s">
        <v>673</v>
      </c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80"/>
    </row>
    <row r="79" spans="1:13" ht="40.200000000000003" customHeight="1">
      <c r="A79" s="32" t="s">
        <v>472</v>
      </c>
      <c r="B79" s="32" t="s">
        <v>473</v>
      </c>
      <c r="C79" s="33" t="s">
        <v>474</v>
      </c>
      <c r="D79" s="98" t="s">
        <v>15</v>
      </c>
      <c r="E79" s="98">
        <v>53</v>
      </c>
      <c r="F79" s="98">
        <v>26.06</v>
      </c>
      <c r="G79" s="98">
        <v>1381.18</v>
      </c>
      <c r="H79" s="93">
        <f>E79-K79</f>
        <v>0</v>
      </c>
      <c r="I79" s="93">
        <f>F79</f>
        <v>26.06</v>
      </c>
      <c r="J79" s="93">
        <f>H79*I79</f>
        <v>0</v>
      </c>
      <c r="K79" s="99">
        <f>E79</f>
        <v>53</v>
      </c>
      <c r="L79" s="99">
        <f t="shared" ref="L79" si="12">F79</f>
        <v>26.06</v>
      </c>
      <c r="M79" s="99">
        <f>K79*L79</f>
        <v>1381.1799999999998</v>
      </c>
    </row>
    <row r="80" spans="1:13" ht="40.200000000000003" customHeight="1">
      <c r="A80" s="32" t="s">
        <v>475</v>
      </c>
      <c r="B80" s="32" t="s">
        <v>473</v>
      </c>
      <c r="C80" s="33" t="s">
        <v>476</v>
      </c>
      <c r="D80" s="98" t="s">
        <v>15</v>
      </c>
      <c r="E80" s="98">
        <v>439</v>
      </c>
      <c r="F80" s="98">
        <v>23.25</v>
      </c>
      <c r="G80" s="98">
        <v>10206.75</v>
      </c>
      <c r="H80" s="93">
        <f t="shared" ref="H80:H124" si="13">E80-K80</f>
        <v>0</v>
      </c>
      <c r="I80" s="93">
        <f t="shared" ref="I80:I124" si="14">F80</f>
        <v>23.25</v>
      </c>
      <c r="J80" s="93">
        <f t="shared" ref="J80:J124" si="15">H80*I80</f>
        <v>0</v>
      </c>
      <c r="K80" s="99">
        <f t="shared" ref="K80:K124" si="16">E80</f>
        <v>439</v>
      </c>
      <c r="L80" s="99">
        <f t="shared" ref="L80:L124" si="17">F80</f>
        <v>23.25</v>
      </c>
      <c r="M80" s="99">
        <f t="shared" ref="M80:M124" si="18">K80*L80</f>
        <v>10206.75</v>
      </c>
    </row>
    <row r="81" spans="1:13" ht="40.200000000000003" customHeight="1">
      <c r="A81" s="32" t="s">
        <v>477</v>
      </c>
      <c r="B81" s="32" t="s">
        <v>478</v>
      </c>
      <c r="C81" s="33" t="s">
        <v>479</v>
      </c>
      <c r="D81" s="98" t="s">
        <v>15</v>
      </c>
      <c r="E81" s="98">
        <v>492</v>
      </c>
      <c r="F81" s="98">
        <v>1.53</v>
      </c>
      <c r="G81" s="98">
        <v>752.76</v>
      </c>
      <c r="H81" s="93">
        <f t="shared" si="13"/>
        <v>0</v>
      </c>
      <c r="I81" s="93">
        <f t="shared" si="14"/>
        <v>1.53</v>
      </c>
      <c r="J81" s="93">
        <f t="shared" si="15"/>
        <v>0</v>
      </c>
      <c r="K81" s="99">
        <f t="shared" si="16"/>
        <v>492</v>
      </c>
      <c r="L81" s="99">
        <f t="shared" si="17"/>
        <v>1.53</v>
      </c>
      <c r="M81" s="99">
        <f t="shared" si="18"/>
        <v>752.76</v>
      </c>
    </row>
    <row r="82" spans="1:13" ht="40.200000000000003" customHeight="1">
      <c r="A82" s="32" t="s">
        <v>480</v>
      </c>
      <c r="B82" s="32" t="s">
        <v>481</v>
      </c>
      <c r="C82" s="33" t="s">
        <v>482</v>
      </c>
      <c r="D82" s="98" t="s">
        <v>483</v>
      </c>
      <c r="E82" s="98">
        <v>1</v>
      </c>
      <c r="F82" s="98">
        <v>207.78</v>
      </c>
      <c r="G82" s="98">
        <v>207.78</v>
      </c>
      <c r="H82" s="93">
        <f t="shared" si="13"/>
        <v>0</v>
      </c>
      <c r="I82" s="93">
        <f t="shared" si="14"/>
        <v>207.78</v>
      </c>
      <c r="J82" s="93">
        <f t="shared" si="15"/>
        <v>0</v>
      </c>
      <c r="K82" s="99">
        <f t="shared" si="16"/>
        <v>1</v>
      </c>
      <c r="L82" s="99">
        <f t="shared" si="17"/>
        <v>207.78</v>
      </c>
      <c r="M82" s="99">
        <f t="shared" si="18"/>
        <v>207.78</v>
      </c>
    </row>
    <row r="83" spans="1:13" ht="40.200000000000003" customHeight="1">
      <c r="A83" s="32" t="s">
        <v>484</v>
      </c>
      <c r="B83" s="32" t="s">
        <v>485</v>
      </c>
      <c r="C83" s="33" t="s">
        <v>486</v>
      </c>
      <c r="D83" s="98" t="s">
        <v>15</v>
      </c>
      <c r="E83" s="98">
        <v>492</v>
      </c>
      <c r="F83" s="98">
        <v>2.58</v>
      </c>
      <c r="G83" s="98">
        <v>1269.3599999999999</v>
      </c>
      <c r="H83" s="93">
        <f t="shared" si="13"/>
        <v>0</v>
      </c>
      <c r="I83" s="93">
        <f t="shared" si="14"/>
        <v>2.58</v>
      </c>
      <c r="J83" s="93">
        <f t="shared" si="15"/>
        <v>0</v>
      </c>
      <c r="K83" s="99">
        <f t="shared" si="16"/>
        <v>492</v>
      </c>
      <c r="L83" s="99">
        <f t="shared" si="17"/>
        <v>2.58</v>
      </c>
      <c r="M83" s="99">
        <f t="shared" si="18"/>
        <v>1269.3600000000001</v>
      </c>
    </row>
    <row r="84" spans="1:13" ht="40.200000000000003" customHeight="1">
      <c r="A84" s="32" t="s">
        <v>487</v>
      </c>
      <c r="B84" s="32" t="s">
        <v>323</v>
      </c>
      <c r="C84" s="33" t="s">
        <v>488</v>
      </c>
      <c r="D84" s="98" t="s">
        <v>15</v>
      </c>
      <c r="E84" s="98">
        <v>53</v>
      </c>
      <c r="F84" s="98">
        <v>12.15</v>
      </c>
      <c r="G84" s="98">
        <v>643.95000000000005</v>
      </c>
      <c r="H84" s="93">
        <f t="shared" si="13"/>
        <v>0</v>
      </c>
      <c r="I84" s="93">
        <f t="shared" si="14"/>
        <v>12.15</v>
      </c>
      <c r="J84" s="93">
        <f t="shared" si="15"/>
        <v>0</v>
      </c>
      <c r="K84" s="99">
        <f t="shared" si="16"/>
        <v>53</v>
      </c>
      <c r="L84" s="99">
        <f t="shared" si="17"/>
        <v>12.15</v>
      </c>
      <c r="M84" s="99">
        <f t="shared" si="18"/>
        <v>643.95000000000005</v>
      </c>
    </row>
    <row r="85" spans="1:13" ht="40.200000000000003" customHeight="1">
      <c r="A85" s="32" t="s">
        <v>489</v>
      </c>
      <c r="B85" s="32" t="s">
        <v>323</v>
      </c>
      <c r="C85" s="33" t="s">
        <v>490</v>
      </c>
      <c r="D85" s="98" t="s">
        <v>15</v>
      </c>
      <c r="E85" s="98">
        <v>439</v>
      </c>
      <c r="F85" s="98">
        <v>11.39</v>
      </c>
      <c r="G85" s="98">
        <v>5000.21</v>
      </c>
      <c r="H85" s="93">
        <f t="shared" si="13"/>
        <v>0</v>
      </c>
      <c r="I85" s="93">
        <f t="shared" si="14"/>
        <v>11.39</v>
      </c>
      <c r="J85" s="93">
        <f t="shared" si="15"/>
        <v>0</v>
      </c>
      <c r="K85" s="99">
        <f t="shared" si="16"/>
        <v>439</v>
      </c>
      <c r="L85" s="99">
        <f t="shared" si="17"/>
        <v>11.39</v>
      </c>
      <c r="M85" s="99">
        <f t="shared" si="18"/>
        <v>5000.21</v>
      </c>
    </row>
    <row r="86" spans="1:13" ht="40.200000000000003" customHeight="1">
      <c r="A86" s="32" t="s">
        <v>491</v>
      </c>
      <c r="B86" s="32" t="s">
        <v>492</v>
      </c>
      <c r="C86" s="33" t="s">
        <v>493</v>
      </c>
      <c r="D86" s="98" t="s">
        <v>16</v>
      </c>
      <c r="E86" s="98">
        <v>48</v>
      </c>
      <c r="F86" s="98">
        <v>40.65</v>
      </c>
      <c r="G86" s="98">
        <v>1951.2</v>
      </c>
      <c r="H86" s="93">
        <f t="shared" si="13"/>
        <v>0</v>
      </c>
      <c r="I86" s="93">
        <f t="shared" si="14"/>
        <v>40.65</v>
      </c>
      <c r="J86" s="93">
        <f t="shared" si="15"/>
        <v>0</v>
      </c>
      <c r="K86" s="99">
        <f t="shared" si="16"/>
        <v>48</v>
      </c>
      <c r="L86" s="99">
        <f t="shared" si="17"/>
        <v>40.65</v>
      </c>
      <c r="M86" s="99">
        <f t="shared" si="18"/>
        <v>1951.1999999999998</v>
      </c>
    </row>
    <row r="87" spans="1:13" ht="40.200000000000003" customHeight="1">
      <c r="A87" s="32" t="s">
        <v>494</v>
      </c>
      <c r="B87" s="32" t="s">
        <v>495</v>
      </c>
      <c r="C87" s="33" t="s">
        <v>496</v>
      </c>
      <c r="D87" s="98" t="s">
        <v>10</v>
      </c>
      <c r="E87" s="98">
        <v>1</v>
      </c>
      <c r="F87" s="98">
        <v>400.83</v>
      </c>
      <c r="G87" s="98">
        <v>400.83</v>
      </c>
      <c r="H87" s="93">
        <f t="shared" si="13"/>
        <v>1</v>
      </c>
      <c r="I87" s="93">
        <f t="shared" si="14"/>
        <v>400.83</v>
      </c>
      <c r="J87" s="93">
        <f t="shared" si="15"/>
        <v>400.83</v>
      </c>
      <c r="K87" s="99">
        <v>0</v>
      </c>
      <c r="L87" s="99">
        <f t="shared" si="17"/>
        <v>400.83</v>
      </c>
      <c r="M87" s="99">
        <f t="shared" si="18"/>
        <v>0</v>
      </c>
    </row>
    <row r="88" spans="1:13" ht="40.200000000000003" customHeight="1">
      <c r="A88" s="32" t="s">
        <v>497</v>
      </c>
      <c r="B88" s="32" t="s">
        <v>495</v>
      </c>
      <c r="C88" s="33" t="s">
        <v>498</v>
      </c>
      <c r="D88" s="98" t="s">
        <v>10</v>
      </c>
      <c r="E88" s="98">
        <v>2</v>
      </c>
      <c r="F88" s="98">
        <v>402.89</v>
      </c>
      <c r="G88" s="98">
        <v>805.78</v>
      </c>
      <c r="H88" s="93">
        <f t="shared" si="13"/>
        <v>2</v>
      </c>
      <c r="I88" s="93">
        <f t="shared" si="14"/>
        <v>402.89</v>
      </c>
      <c r="J88" s="93">
        <f t="shared" si="15"/>
        <v>805.78</v>
      </c>
      <c r="K88" s="99">
        <v>0</v>
      </c>
      <c r="L88" s="99">
        <f t="shared" si="17"/>
        <v>402.89</v>
      </c>
      <c r="M88" s="99">
        <f t="shared" si="18"/>
        <v>0</v>
      </c>
    </row>
    <row r="89" spans="1:13" ht="40.200000000000003" customHeight="1">
      <c r="A89" s="32" t="s">
        <v>499</v>
      </c>
      <c r="B89" s="32" t="s">
        <v>495</v>
      </c>
      <c r="C89" s="33" t="s">
        <v>500</v>
      </c>
      <c r="D89" s="98" t="s">
        <v>10</v>
      </c>
      <c r="E89" s="98">
        <v>1</v>
      </c>
      <c r="F89" s="98">
        <v>405.98</v>
      </c>
      <c r="G89" s="98">
        <v>405.98</v>
      </c>
      <c r="H89" s="93">
        <f t="shared" si="13"/>
        <v>1</v>
      </c>
      <c r="I89" s="93">
        <f t="shared" si="14"/>
        <v>405.98</v>
      </c>
      <c r="J89" s="93">
        <f t="shared" si="15"/>
        <v>405.98</v>
      </c>
      <c r="K89" s="99">
        <v>0</v>
      </c>
      <c r="L89" s="99">
        <f t="shared" si="17"/>
        <v>405.98</v>
      </c>
      <c r="M89" s="99">
        <f t="shared" si="18"/>
        <v>0</v>
      </c>
    </row>
    <row r="90" spans="1:13" ht="40.200000000000003" customHeight="1">
      <c r="A90" s="32" t="s">
        <v>501</v>
      </c>
      <c r="B90" s="32" t="s">
        <v>502</v>
      </c>
      <c r="C90" s="33" t="s">
        <v>693</v>
      </c>
      <c r="D90" s="98" t="s">
        <v>10</v>
      </c>
      <c r="E90" s="98">
        <v>2</v>
      </c>
      <c r="F90" s="98">
        <v>463.98</v>
      </c>
      <c r="G90" s="98">
        <v>927.96</v>
      </c>
      <c r="H90" s="93">
        <f t="shared" si="13"/>
        <v>2</v>
      </c>
      <c r="I90" s="93">
        <f t="shared" si="14"/>
        <v>463.98</v>
      </c>
      <c r="J90" s="93">
        <f t="shared" si="15"/>
        <v>927.96</v>
      </c>
      <c r="K90" s="99">
        <v>0</v>
      </c>
      <c r="L90" s="99">
        <f t="shared" si="17"/>
        <v>463.98</v>
      </c>
      <c r="M90" s="99">
        <f t="shared" si="18"/>
        <v>0</v>
      </c>
    </row>
    <row r="91" spans="1:13" ht="40.200000000000003" customHeight="1">
      <c r="A91" s="32" t="s">
        <v>503</v>
      </c>
      <c r="B91" s="32" t="s">
        <v>504</v>
      </c>
      <c r="C91" s="33" t="s">
        <v>505</v>
      </c>
      <c r="D91" s="98" t="s">
        <v>10</v>
      </c>
      <c r="E91" s="98">
        <v>3</v>
      </c>
      <c r="F91" s="98">
        <v>613.75</v>
      </c>
      <c r="G91" s="98">
        <v>1841.25</v>
      </c>
      <c r="H91" s="93">
        <f t="shared" si="13"/>
        <v>3</v>
      </c>
      <c r="I91" s="93">
        <f t="shared" si="14"/>
        <v>613.75</v>
      </c>
      <c r="J91" s="93">
        <f t="shared" si="15"/>
        <v>1841.25</v>
      </c>
      <c r="K91" s="99">
        <v>0</v>
      </c>
      <c r="L91" s="99">
        <f t="shared" si="17"/>
        <v>613.75</v>
      </c>
      <c r="M91" s="99">
        <f t="shared" si="18"/>
        <v>0</v>
      </c>
    </row>
    <row r="92" spans="1:13" ht="40.200000000000003" customHeight="1">
      <c r="A92" s="32" t="s">
        <v>506</v>
      </c>
      <c r="B92" s="32" t="s">
        <v>504</v>
      </c>
      <c r="C92" s="33" t="s">
        <v>507</v>
      </c>
      <c r="D92" s="98" t="s">
        <v>10</v>
      </c>
      <c r="E92" s="98">
        <v>1</v>
      </c>
      <c r="F92" s="98">
        <v>631.26</v>
      </c>
      <c r="G92" s="98">
        <v>631.26</v>
      </c>
      <c r="H92" s="93">
        <f t="shared" si="13"/>
        <v>1</v>
      </c>
      <c r="I92" s="93">
        <f t="shared" si="14"/>
        <v>631.26</v>
      </c>
      <c r="J92" s="93">
        <f t="shared" si="15"/>
        <v>631.26</v>
      </c>
      <c r="K92" s="99">
        <v>0</v>
      </c>
      <c r="L92" s="99">
        <f t="shared" si="17"/>
        <v>631.26</v>
      </c>
      <c r="M92" s="99">
        <f t="shared" si="18"/>
        <v>0</v>
      </c>
    </row>
    <row r="93" spans="1:13" ht="40.200000000000003" customHeight="1">
      <c r="A93" s="32" t="s">
        <v>508</v>
      </c>
      <c r="B93" s="32" t="s">
        <v>694</v>
      </c>
      <c r="C93" s="33" t="s">
        <v>695</v>
      </c>
      <c r="D93" s="98" t="s">
        <v>10</v>
      </c>
      <c r="E93" s="98">
        <v>1</v>
      </c>
      <c r="F93" s="98">
        <v>924.74</v>
      </c>
      <c r="G93" s="98">
        <v>924.74</v>
      </c>
      <c r="H93" s="93">
        <f t="shared" si="13"/>
        <v>1</v>
      </c>
      <c r="I93" s="93">
        <f t="shared" si="14"/>
        <v>924.74</v>
      </c>
      <c r="J93" s="93">
        <f t="shared" si="15"/>
        <v>924.74</v>
      </c>
      <c r="K93" s="99">
        <v>0</v>
      </c>
      <c r="L93" s="99">
        <f t="shared" si="17"/>
        <v>924.74</v>
      </c>
      <c r="M93" s="99">
        <f t="shared" si="18"/>
        <v>0</v>
      </c>
    </row>
    <row r="94" spans="1:13" ht="40.200000000000003" customHeight="1">
      <c r="A94" s="32" t="s">
        <v>509</v>
      </c>
      <c r="B94" s="32" t="s">
        <v>696</v>
      </c>
      <c r="C94" s="33" t="s">
        <v>697</v>
      </c>
      <c r="D94" s="98" t="s">
        <v>10</v>
      </c>
      <c r="E94" s="98">
        <v>1</v>
      </c>
      <c r="F94" s="98">
        <v>1635.95</v>
      </c>
      <c r="G94" s="98">
        <v>1635.95</v>
      </c>
      <c r="H94" s="93">
        <f t="shared" si="13"/>
        <v>1</v>
      </c>
      <c r="I94" s="93">
        <f t="shared" si="14"/>
        <v>1635.95</v>
      </c>
      <c r="J94" s="93">
        <f t="shared" si="15"/>
        <v>1635.95</v>
      </c>
      <c r="K94" s="99">
        <v>0</v>
      </c>
      <c r="L94" s="99">
        <f t="shared" si="17"/>
        <v>1635.95</v>
      </c>
      <c r="M94" s="99">
        <f t="shared" si="18"/>
        <v>0</v>
      </c>
    </row>
    <row r="95" spans="1:13" ht="40.200000000000003" customHeight="1">
      <c r="A95" s="32" t="s">
        <v>510</v>
      </c>
      <c r="B95" s="32" t="s">
        <v>511</v>
      </c>
      <c r="C95" s="33" t="s">
        <v>512</v>
      </c>
      <c r="D95" s="98" t="s">
        <v>10</v>
      </c>
      <c r="E95" s="98">
        <v>3</v>
      </c>
      <c r="F95" s="98">
        <v>575.70000000000005</v>
      </c>
      <c r="G95" s="98">
        <v>1727.1</v>
      </c>
      <c r="H95" s="93">
        <f t="shared" si="13"/>
        <v>3</v>
      </c>
      <c r="I95" s="93">
        <f t="shared" si="14"/>
        <v>575.70000000000005</v>
      </c>
      <c r="J95" s="93">
        <f t="shared" si="15"/>
        <v>1727.1000000000001</v>
      </c>
      <c r="K95" s="99">
        <v>0</v>
      </c>
      <c r="L95" s="99">
        <f t="shared" si="17"/>
        <v>575.70000000000005</v>
      </c>
      <c r="M95" s="99">
        <f t="shared" si="18"/>
        <v>0</v>
      </c>
    </row>
    <row r="96" spans="1:13" ht="40.200000000000003" customHeight="1">
      <c r="A96" s="32" t="s">
        <v>513</v>
      </c>
      <c r="B96" s="32" t="s">
        <v>511</v>
      </c>
      <c r="C96" s="33" t="s">
        <v>518</v>
      </c>
      <c r="D96" s="98" t="s">
        <v>10</v>
      </c>
      <c r="E96" s="98">
        <v>2</v>
      </c>
      <c r="F96" s="98">
        <v>595.27</v>
      </c>
      <c r="G96" s="98">
        <v>1190.54</v>
      </c>
      <c r="H96" s="93">
        <f t="shared" si="13"/>
        <v>2</v>
      </c>
      <c r="I96" s="93">
        <f t="shared" si="14"/>
        <v>595.27</v>
      </c>
      <c r="J96" s="93">
        <f t="shared" si="15"/>
        <v>1190.54</v>
      </c>
      <c r="K96" s="99">
        <v>0</v>
      </c>
      <c r="L96" s="99">
        <f t="shared" si="17"/>
        <v>595.27</v>
      </c>
      <c r="M96" s="99">
        <f t="shared" si="18"/>
        <v>0</v>
      </c>
    </row>
    <row r="97" spans="1:13" ht="40.200000000000003" customHeight="1">
      <c r="A97" s="32" t="s">
        <v>515</v>
      </c>
      <c r="B97" s="32" t="s">
        <v>511</v>
      </c>
      <c r="C97" s="33" t="s">
        <v>514</v>
      </c>
      <c r="D97" s="98" t="s">
        <v>10</v>
      </c>
      <c r="E97" s="98">
        <v>2</v>
      </c>
      <c r="F97" s="98">
        <v>616.91</v>
      </c>
      <c r="G97" s="98">
        <v>1233.82</v>
      </c>
      <c r="H97" s="93">
        <f t="shared" si="13"/>
        <v>2</v>
      </c>
      <c r="I97" s="93">
        <f t="shared" si="14"/>
        <v>616.91</v>
      </c>
      <c r="J97" s="93">
        <f t="shared" si="15"/>
        <v>1233.82</v>
      </c>
      <c r="K97" s="99">
        <v>0</v>
      </c>
      <c r="L97" s="99">
        <f t="shared" si="17"/>
        <v>616.91</v>
      </c>
      <c r="M97" s="99">
        <f t="shared" si="18"/>
        <v>0</v>
      </c>
    </row>
    <row r="98" spans="1:13" ht="40.200000000000003" customHeight="1">
      <c r="A98" s="32" t="s">
        <v>517</v>
      </c>
      <c r="B98" s="32" t="s">
        <v>511</v>
      </c>
      <c r="C98" s="33" t="s">
        <v>516</v>
      </c>
      <c r="D98" s="98" t="s">
        <v>10</v>
      </c>
      <c r="E98" s="98">
        <v>7</v>
      </c>
      <c r="F98" s="98">
        <v>637.51</v>
      </c>
      <c r="G98" s="98">
        <v>4462.57</v>
      </c>
      <c r="H98" s="93">
        <f t="shared" si="13"/>
        <v>7</v>
      </c>
      <c r="I98" s="93">
        <f t="shared" si="14"/>
        <v>637.51</v>
      </c>
      <c r="J98" s="93">
        <f t="shared" si="15"/>
        <v>4462.57</v>
      </c>
      <c r="K98" s="99">
        <v>0</v>
      </c>
      <c r="L98" s="99">
        <f t="shared" si="17"/>
        <v>637.51</v>
      </c>
      <c r="M98" s="99">
        <f t="shared" si="18"/>
        <v>0</v>
      </c>
    </row>
    <row r="99" spans="1:13" ht="40.200000000000003" customHeight="1">
      <c r="A99" s="32" t="s">
        <v>519</v>
      </c>
      <c r="B99" s="32" t="s">
        <v>511</v>
      </c>
      <c r="C99" s="33" t="s">
        <v>520</v>
      </c>
      <c r="D99" s="98" t="s">
        <v>10</v>
      </c>
      <c r="E99" s="98">
        <v>6</v>
      </c>
      <c r="F99" s="98">
        <v>668.42</v>
      </c>
      <c r="G99" s="98">
        <v>4010.52</v>
      </c>
      <c r="H99" s="93">
        <f t="shared" si="13"/>
        <v>6</v>
      </c>
      <c r="I99" s="93">
        <f t="shared" si="14"/>
        <v>668.42</v>
      </c>
      <c r="J99" s="93">
        <f t="shared" si="15"/>
        <v>4010.5199999999995</v>
      </c>
      <c r="K99" s="99">
        <v>0</v>
      </c>
      <c r="L99" s="99">
        <f t="shared" si="17"/>
        <v>668.42</v>
      </c>
      <c r="M99" s="99">
        <f t="shared" si="18"/>
        <v>0</v>
      </c>
    </row>
    <row r="100" spans="1:13" ht="40.200000000000003" customHeight="1">
      <c r="A100" s="32" t="s">
        <v>521</v>
      </c>
      <c r="B100" s="32" t="s">
        <v>511</v>
      </c>
      <c r="C100" s="33" t="s">
        <v>522</v>
      </c>
      <c r="D100" s="98" t="s">
        <v>10</v>
      </c>
      <c r="E100" s="98">
        <v>4</v>
      </c>
      <c r="F100" s="98">
        <v>709.62</v>
      </c>
      <c r="G100" s="98">
        <v>2838.48</v>
      </c>
      <c r="H100" s="93">
        <f t="shared" si="13"/>
        <v>4</v>
      </c>
      <c r="I100" s="93">
        <f t="shared" si="14"/>
        <v>709.62</v>
      </c>
      <c r="J100" s="93">
        <f t="shared" si="15"/>
        <v>2838.48</v>
      </c>
      <c r="K100" s="99">
        <v>0</v>
      </c>
      <c r="L100" s="99">
        <f t="shared" si="17"/>
        <v>709.62</v>
      </c>
      <c r="M100" s="99">
        <f t="shared" si="18"/>
        <v>0</v>
      </c>
    </row>
    <row r="101" spans="1:13" ht="40.200000000000003" customHeight="1">
      <c r="A101" s="32" t="s">
        <v>523</v>
      </c>
      <c r="B101" s="32" t="s">
        <v>511</v>
      </c>
      <c r="C101" s="33" t="s">
        <v>524</v>
      </c>
      <c r="D101" s="98" t="s">
        <v>10</v>
      </c>
      <c r="E101" s="98">
        <v>1</v>
      </c>
      <c r="F101" s="98">
        <v>740.53</v>
      </c>
      <c r="G101" s="98">
        <v>740.53</v>
      </c>
      <c r="H101" s="93">
        <f t="shared" si="13"/>
        <v>1</v>
      </c>
      <c r="I101" s="93">
        <f t="shared" si="14"/>
        <v>740.53</v>
      </c>
      <c r="J101" s="93">
        <f t="shared" si="15"/>
        <v>740.53</v>
      </c>
      <c r="K101" s="99">
        <v>0</v>
      </c>
      <c r="L101" s="99">
        <f t="shared" si="17"/>
        <v>740.53</v>
      </c>
      <c r="M101" s="99">
        <f t="shared" si="18"/>
        <v>0</v>
      </c>
    </row>
    <row r="102" spans="1:13" ht="40.200000000000003" customHeight="1">
      <c r="A102" s="32" t="s">
        <v>525</v>
      </c>
      <c r="B102" s="32" t="s">
        <v>511</v>
      </c>
      <c r="C102" s="33" t="s">
        <v>526</v>
      </c>
      <c r="D102" s="98" t="s">
        <v>10</v>
      </c>
      <c r="E102" s="98">
        <v>1</v>
      </c>
      <c r="F102" s="98">
        <v>750.83</v>
      </c>
      <c r="G102" s="98">
        <v>750.83</v>
      </c>
      <c r="H102" s="93">
        <f t="shared" si="13"/>
        <v>1</v>
      </c>
      <c r="I102" s="93">
        <f t="shared" si="14"/>
        <v>750.83</v>
      </c>
      <c r="J102" s="93">
        <f t="shared" si="15"/>
        <v>750.83</v>
      </c>
      <c r="K102" s="99">
        <v>0</v>
      </c>
      <c r="L102" s="99">
        <f t="shared" si="17"/>
        <v>750.83</v>
      </c>
      <c r="M102" s="99">
        <f t="shared" si="18"/>
        <v>0</v>
      </c>
    </row>
    <row r="103" spans="1:13" ht="40.200000000000003" customHeight="1">
      <c r="A103" s="32" t="s">
        <v>527</v>
      </c>
      <c r="B103" s="32" t="s">
        <v>511</v>
      </c>
      <c r="C103" s="33" t="s">
        <v>528</v>
      </c>
      <c r="D103" s="98" t="s">
        <v>10</v>
      </c>
      <c r="E103" s="98">
        <v>1</v>
      </c>
      <c r="F103" s="98">
        <v>833.25</v>
      </c>
      <c r="G103" s="98">
        <v>833.25</v>
      </c>
      <c r="H103" s="93">
        <f t="shared" si="13"/>
        <v>1</v>
      </c>
      <c r="I103" s="93">
        <f t="shared" si="14"/>
        <v>833.25</v>
      </c>
      <c r="J103" s="93">
        <f t="shared" si="15"/>
        <v>833.25</v>
      </c>
      <c r="K103" s="99">
        <v>0</v>
      </c>
      <c r="L103" s="99">
        <f t="shared" si="17"/>
        <v>833.25</v>
      </c>
      <c r="M103" s="99">
        <f t="shared" si="18"/>
        <v>0</v>
      </c>
    </row>
    <row r="104" spans="1:13" ht="40.200000000000003" customHeight="1">
      <c r="A104" s="32" t="s">
        <v>529</v>
      </c>
      <c r="B104" s="32" t="s">
        <v>511</v>
      </c>
      <c r="C104" s="33" t="s">
        <v>532</v>
      </c>
      <c r="D104" s="98" t="s">
        <v>10</v>
      </c>
      <c r="E104" s="98">
        <v>1</v>
      </c>
      <c r="F104" s="98">
        <v>874.46</v>
      </c>
      <c r="G104" s="98">
        <v>874.46</v>
      </c>
      <c r="H104" s="93">
        <f t="shared" si="13"/>
        <v>1</v>
      </c>
      <c r="I104" s="93">
        <f t="shared" si="14"/>
        <v>874.46</v>
      </c>
      <c r="J104" s="93">
        <f t="shared" si="15"/>
        <v>874.46</v>
      </c>
      <c r="K104" s="99">
        <v>0</v>
      </c>
      <c r="L104" s="99">
        <f t="shared" si="17"/>
        <v>874.46</v>
      </c>
      <c r="M104" s="99">
        <f t="shared" si="18"/>
        <v>0</v>
      </c>
    </row>
    <row r="105" spans="1:13" ht="40.200000000000003" customHeight="1">
      <c r="A105" s="32" t="s">
        <v>530</v>
      </c>
      <c r="B105" s="32" t="s">
        <v>511</v>
      </c>
      <c r="C105" s="33" t="s">
        <v>698</v>
      </c>
      <c r="D105" s="98" t="s">
        <v>10</v>
      </c>
      <c r="E105" s="98">
        <v>1</v>
      </c>
      <c r="F105" s="98">
        <v>849.73</v>
      </c>
      <c r="G105" s="98">
        <v>849.73</v>
      </c>
      <c r="H105" s="93">
        <f t="shared" si="13"/>
        <v>1</v>
      </c>
      <c r="I105" s="93">
        <f t="shared" si="14"/>
        <v>849.73</v>
      </c>
      <c r="J105" s="93">
        <f t="shared" si="15"/>
        <v>849.73</v>
      </c>
      <c r="K105" s="99">
        <v>0</v>
      </c>
      <c r="L105" s="99">
        <f t="shared" si="17"/>
        <v>849.73</v>
      </c>
      <c r="M105" s="99">
        <f t="shared" si="18"/>
        <v>0</v>
      </c>
    </row>
    <row r="106" spans="1:13" ht="40.200000000000003" customHeight="1">
      <c r="A106" s="32" t="s">
        <v>531</v>
      </c>
      <c r="B106" s="32" t="s">
        <v>511</v>
      </c>
      <c r="C106" s="33" t="s">
        <v>699</v>
      </c>
      <c r="D106" s="98" t="s">
        <v>10</v>
      </c>
      <c r="E106" s="98">
        <v>1</v>
      </c>
      <c r="F106" s="98">
        <v>1111.4000000000001</v>
      </c>
      <c r="G106" s="98">
        <v>1111.4000000000001</v>
      </c>
      <c r="H106" s="93">
        <f t="shared" si="13"/>
        <v>1</v>
      </c>
      <c r="I106" s="93">
        <f t="shared" si="14"/>
        <v>1111.4000000000001</v>
      </c>
      <c r="J106" s="93">
        <f t="shared" si="15"/>
        <v>1111.4000000000001</v>
      </c>
      <c r="K106" s="99">
        <v>0</v>
      </c>
      <c r="L106" s="99">
        <f t="shared" si="17"/>
        <v>1111.4000000000001</v>
      </c>
      <c r="M106" s="99">
        <f t="shared" si="18"/>
        <v>0</v>
      </c>
    </row>
    <row r="107" spans="1:13" ht="40.200000000000003" customHeight="1">
      <c r="A107" s="32" t="s">
        <v>533</v>
      </c>
      <c r="B107" s="32" t="s">
        <v>511</v>
      </c>
      <c r="C107" s="33" t="s">
        <v>535</v>
      </c>
      <c r="D107" s="98" t="s">
        <v>10</v>
      </c>
      <c r="E107" s="98">
        <v>2</v>
      </c>
      <c r="F107" s="98">
        <v>977.48</v>
      </c>
      <c r="G107" s="98">
        <v>1954.96</v>
      </c>
      <c r="H107" s="93">
        <f t="shared" si="13"/>
        <v>2</v>
      </c>
      <c r="I107" s="93">
        <f t="shared" si="14"/>
        <v>977.48</v>
      </c>
      <c r="J107" s="93">
        <f t="shared" si="15"/>
        <v>1954.96</v>
      </c>
      <c r="K107" s="99">
        <v>0</v>
      </c>
      <c r="L107" s="99">
        <f t="shared" si="17"/>
        <v>977.48</v>
      </c>
      <c r="M107" s="99">
        <f t="shared" si="18"/>
        <v>0</v>
      </c>
    </row>
    <row r="108" spans="1:13" ht="40.200000000000003" customHeight="1">
      <c r="A108" s="32" t="s">
        <v>534</v>
      </c>
      <c r="B108" s="32" t="s">
        <v>511</v>
      </c>
      <c r="C108" s="33" t="s">
        <v>537</v>
      </c>
      <c r="D108" s="98" t="s">
        <v>10</v>
      </c>
      <c r="E108" s="98">
        <v>1</v>
      </c>
      <c r="F108" s="98">
        <v>1317.44</v>
      </c>
      <c r="G108" s="98">
        <v>1317.44</v>
      </c>
      <c r="H108" s="93">
        <f t="shared" si="13"/>
        <v>1</v>
      </c>
      <c r="I108" s="93">
        <f t="shared" si="14"/>
        <v>1317.44</v>
      </c>
      <c r="J108" s="93">
        <f t="shared" si="15"/>
        <v>1317.44</v>
      </c>
      <c r="K108" s="99">
        <v>0</v>
      </c>
      <c r="L108" s="99">
        <f t="shared" si="17"/>
        <v>1317.44</v>
      </c>
      <c r="M108" s="99">
        <f t="shared" si="18"/>
        <v>0</v>
      </c>
    </row>
    <row r="109" spans="1:13" ht="40.200000000000003" customHeight="1">
      <c r="A109" s="32" t="s">
        <v>536</v>
      </c>
      <c r="B109" s="32" t="s">
        <v>700</v>
      </c>
      <c r="C109" s="33" t="s">
        <v>701</v>
      </c>
      <c r="D109" s="98" t="s">
        <v>10</v>
      </c>
      <c r="E109" s="98">
        <v>1</v>
      </c>
      <c r="F109" s="98">
        <v>388.02</v>
      </c>
      <c r="G109" s="98">
        <v>388.02</v>
      </c>
      <c r="H109" s="93">
        <f t="shared" si="13"/>
        <v>1</v>
      </c>
      <c r="I109" s="93">
        <f t="shared" si="14"/>
        <v>388.02</v>
      </c>
      <c r="J109" s="93">
        <f t="shared" si="15"/>
        <v>388.02</v>
      </c>
      <c r="K109" s="99">
        <v>0</v>
      </c>
      <c r="L109" s="99">
        <f t="shared" si="17"/>
        <v>388.02</v>
      </c>
      <c r="M109" s="99">
        <f t="shared" si="18"/>
        <v>0</v>
      </c>
    </row>
    <row r="110" spans="1:13" ht="40.200000000000003" customHeight="1">
      <c r="A110" s="32" t="s">
        <v>538</v>
      </c>
      <c r="B110" s="32" t="s">
        <v>702</v>
      </c>
      <c r="C110" s="33" t="s">
        <v>703</v>
      </c>
      <c r="D110" s="98" t="s">
        <v>10</v>
      </c>
      <c r="E110" s="98">
        <v>1</v>
      </c>
      <c r="F110" s="98">
        <v>625.13</v>
      </c>
      <c r="G110" s="98">
        <v>625.13</v>
      </c>
      <c r="H110" s="93">
        <f t="shared" si="13"/>
        <v>1</v>
      </c>
      <c r="I110" s="93">
        <f t="shared" si="14"/>
        <v>625.13</v>
      </c>
      <c r="J110" s="93">
        <f t="shared" si="15"/>
        <v>625.13</v>
      </c>
      <c r="K110" s="99">
        <v>0</v>
      </c>
      <c r="L110" s="99">
        <f t="shared" si="17"/>
        <v>625.13</v>
      </c>
      <c r="M110" s="99">
        <f t="shared" si="18"/>
        <v>0</v>
      </c>
    </row>
    <row r="111" spans="1:13" ht="40.200000000000003" customHeight="1">
      <c r="A111" s="32" t="s">
        <v>539</v>
      </c>
      <c r="B111" s="32" t="s">
        <v>702</v>
      </c>
      <c r="C111" s="33" t="s">
        <v>704</v>
      </c>
      <c r="D111" s="98" t="s">
        <v>10</v>
      </c>
      <c r="E111" s="98">
        <v>1</v>
      </c>
      <c r="F111" s="98">
        <v>704.46</v>
      </c>
      <c r="G111" s="98">
        <v>704.46</v>
      </c>
      <c r="H111" s="93">
        <f t="shared" si="13"/>
        <v>1</v>
      </c>
      <c r="I111" s="93">
        <f t="shared" si="14"/>
        <v>704.46</v>
      </c>
      <c r="J111" s="93">
        <f t="shared" si="15"/>
        <v>704.46</v>
      </c>
      <c r="K111" s="99">
        <v>0</v>
      </c>
      <c r="L111" s="99">
        <f t="shared" si="17"/>
        <v>704.46</v>
      </c>
      <c r="M111" s="99">
        <f t="shared" si="18"/>
        <v>0</v>
      </c>
    </row>
    <row r="112" spans="1:13" ht="40.200000000000003" customHeight="1">
      <c r="A112" s="32" t="s">
        <v>542</v>
      </c>
      <c r="B112" s="32" t="s">
        <v>705</v>
      </c>
      <c r="C112" s="33" t="s">
        <v>706</v>
      </c>
      <c r="D112" s="98" t="s">
        <v>10</v>
      </c>
      <c r="E112" s="98">
        <v>3</v>
      </c>
      <c r="F112" s="98">
        <v>50.98</v>
      </c>
      <c r="G112" s="98">
        <v>152.94</v>
      </c>
      <c r="H112" s="93">
        <f t="shared" si="13"/>
        <v>0</v>
      </c>
      <c r="I112" s="93">
        <f t="shared" si="14"/>
        <v>50.98</v>
      </c>
      <c r="J112" s="93">
        <f t="shared" si="15"/>
        <v>0</v>
      </c>
      <c r="K112" s="99">
        <f t="shared" si="16"/>
        <v>3</v>
      </c>
      <c r="L112" s="99">
        <f t="shared" si="17"/>
        <v>50.98</v>
      </c>
      <c r="M112" s="99">
        <f t="shared" si="18"/>
        <v>152.94</v>
      </c>
    </row>
    <row r="113" spans="1:13" ht="40.200000000000003" customHeight="1">
      <c r="A113" s="32" t="s">
        <v>544</v>
      </c>
      <c r="B113" s="32" t="s">
        <v>540</v>
      </c>
      <c r="C113" s="33" t="s">
        <v>541</v>
      </c>
      <c r="D113" s="98" t="s">
        <v>10</v>
      </c>
      <c r="E113" s="98">
        <v>48</v>
      </c>
      <c r="F113" s="98">
        <v>57.83</v>
      </c>
      <c r="G113" s="98">
        <v>2775.84</v>
      </c>
      <c r="H113" s="93">
        <f t="shared" si="13"/>
        <v>0</v>
      </c>
      <c r="I113" s="93">
        <f t="shared" si="14"/>
        <v>57.83</v>
      </c>
      <c r="J113" s="93">
        <f t="shared" si="15"/>
        <v>0</v>
      </c>
      <c r="K113" s="99">
        <f t="shared" si="16"/>
        <v>48</v>
      </c>
      <c r="L113" s="99">
        <f t="shared" si="17"/>
        <v>57.83</v>
      </c>
      <c r="M113" s="99">
        <f t="shared" si="18"/>
        <v>2775.84</v>
      </c>
    </row>
    <row r="114" spans="1:13" ht="40.200000000000003" customHeight="1">
      <c r="A114" s="32" t="s">
        <v>547</v>
      </c>
      <c r="B114" s="32" t="s">
        <v>540</v>
      </c>
      <c r="C114" s="33" t="s">
        <v>543</v>
      </c>
      <c r="D114" s="98" t="s">
        <v>10</v>
      </c>
      <c r="E114" s="98">
        <v>48</v>
      </c>
      <c r="F114" s="98">
        <v>34.270000000000003</v>
      </c>
      <c r="G114" s="98">
        <v>1644.96</v>
      </c>
      <c r="H114" s="93">
        <f t="shared" si="13"/>
        <v>0</v>
      </c>
      <c r="I114" s="93">
        <f t="shared" si="14"/>
        <v>34.270000000000003</v>
      </c>
      <c r="J114" s="93">
        <f t="shared" si="15"/>
        <v>0</v>
      </c>
      <c r="K114" s="99">
        <f t="shared" si="16"/>
        <v>48</v>
      </c>
      <c r="L114" s="99">
        <f t="shared" si="17"/>
        <v>34.270000000000003</v>
      </c>
      <c r="M114" s="99">
        <f t="shared" si="18"/>
        <v>1644.96</v>
      </c>
    </row>
    <row r="115" spans="1:13" ht="40.200000000000003" customHeight="1">
      <c r="A115" s="32" t="s">
        <v>549</v>
      </c>
      <c r="B115" s="32" t="s">
        <v>545</v>
      </c>
      <c r="C115" s="33" t="s">
        <v>546</v>
      </c>
      <c r="D115" s="98" t="s">
        <v>10</v>
      </c>
      <c r="E115" s="98">
        <v>3</v>
      </c>
      <c r="F115" s="98">
        <v>38.26</v>
      </c>
      <c r="G115" s="98">
        <v>114.78</v>
      </c>
      <c r="H115" s="93">
        <f t="shared" si="13"/>
        <v>0</v>
      </c>
      <c r="I115" s="93">
        <f t="shared" si="14"/>
        <v>38.26</v>
      </c>
      <c r="J115" s="93">
        <f t="shared" si="15"/>
        <v>0</v>
      </c>
      <c r="K115" s="99">
        <f t="shared" si="16"/>
        <v>3</v>
      </c>
      <c r="L115" s="99">
        <f t="shared" si="17"/>
        <v>38.26</v>
      </c>
      <c r="M115" s="99">
        <f t="shared" si="18"/>
        <v>114.78</v>
      </c>
    </row>
    <row r="116" spans="1:13" ht="40.200000000000003" customHeight="1">
      <c r="A116" s="32" t="s">
        <v>552</v>
      </c>
      <c r="B116" s="32" t="s">
        <v>545</v>
      </c>
      <c r="C116" s="33" t="s">
        <v>548</v>
      </c>
      <c r="D116" s="98" t="s">
        <v>10</v>
      </c>
      <c r="E116" s="98">
        <v>3</v>
      </c>
      <c r="F116" s="98">
        <v>22.62</v>
      </c>
      <c r="G116" s="98">
        <v>67.86</v>
      </c>
      <c r="H116" s="93">
        <f t="shared" si="13"/>
        <v>0</v>
      </c>
      <c r="I116" s="93">
        <f t="shared" si="14"/>
        <v>22.62</v>
      </c>
      <c r="J116" s="93">
        <f t="shared" si="15"/>
        <v>0</v>
      </c>
      <c r="K116" s="99">
        <f t="shared" si="16"/>
        <v>3</v>
      </c>
      <c r="L116" s="99">
        <f t="shared" si="17"/>
        <v>22.62</v>
      </c>
      <c r="M116" s="99">
        <f t="shared" si="18"/>
        <v>67.86</v>
      </c>
    </row>
    <row r="117" spans="1:13" ht="40.200000000000003" customHeight="1">
      <c r="A117" s="32" t="s">
        <v>554</v>
      </c>
      <c r="B117" s="32" t="s">
        <v>550</v>
      </c>
      <c r="C117" s="33" t="s">
        <v>551</v>
      </c>
      <c r="D117" s="98" t="s">
        <v>10</v>
      </c>
      <c r="E117" s="98">
        <v>2</v>
      </c>
      <c r="F117" s="98">
        <v>26.77</v>
      </c>
      <c r="G117" s="98">
        <v>53.54</v>
      </c>
      <c r="H117" s="93">
        <f t="shared" si="13"/>
        <v>0</v>
      </c>
      <c r="I117" s="93">
        <f t="shared" si="14"/>
        <v>26.77</v>
      </c>
      <c r="J117" s="93">
        <f t="shared" si="15"/>
        <v>0</v>
      </c>
      <c r="K117" s="99">
        <f t="shared" si="16"/>
        <v>2</v>
      </c>
      <c r="L117" s="99">
        <f t="shared" si="17"/>
        <v>26.77</v>
      </c>
      <c r="M117" s="99">
        <f t="shared" si="18"/>
        <v>53.54</v>
      </c>
    </row>
    <row r="118" spans="1:13" ht="40.200000000000003" customHeight="1">
      <c r="A118" s="32" t="s">
        <v>556</v>
      </c>
      <c r="B118" s="32" t="s">
        <v>540</v>
      </c>
      <c r="C118" s="33" t="s">
        <v>553</v>
      </c>
      <c r="D118" s="98" t="s">
        <v>10</v>
      </c>
      <c r="E118" s="98">
        <v>2</v>
      </c>
      <c r="F118" s="98">
        <v>19.559999999999999</v>
      </c>
      <c r="G118" s="98">
        <v>39.119999999999997</v>
      </c>
      <c r="H118" s="93">
        <f t="shared" si="13"/>
        <v>0</v>
      </c>
      <c r="I118" s="93">
        <f t="shared" si="14"/>
        <v>19.559999999999999</v>
      </c>
      <c r="J118" s="93">
        <f t="shared" si="15"/>
        <v>0</v>
      </c>
      <c r="K118" s="99">
        <f t="shared" si="16"/>
        <v>2</v>
      </c>
      <c r="L118" s="99">
        <f t="shared" si="17"/>
        <v>19.559999999999999</v>
      </c>
      <c r="M118" s="99">
        <f t="shared" si="18"/>
        <v>39.119999999999997</v>
      </c>
    </row>
    <row r="119" spans="1:13" ht="40.200000000000003" customHeight="1">
      <c r="A119" s="32" t="s">
        <v>558</v>
      </c>
      <c r="B119" s="32" t="s">
        <v>550</v>
      </c>
      <c r="C119" s="33" t="s">
        <v>555</v>
      </c>
      <c r="D119" s="98" t="s">
        <v>10</v>
      </c>
      <c r="E119" s="98">
        <v>2</v>
      </c>
      <c r="F119" s="98">
        <v>329.09</v>
      </c>
      <c r="G119" s="98">
        <v>658.18</v>
      </c>
      <c r="H119" s="93">
        <f t="shared" si="13"/>
        <v>0</v>
      </c>
      <c r="I119" s="93">
        <f t="shared" si="14"/>
        <v>329.09</v>
      </c>
      <c r="J119" s="93">
        <f t="shared" si="15"/>
        <v>0</v>
      </c>
      <c r="K119" s="99">
        <f t="shared" si="16"/>
        <v>2</v>
      </c>
      <c r="L119" s="99">
        <f t="shared" si="17"/>
        <v>329.09</v>
      </c>
      <c r="M119" s="99">
        <f t="shared" si="18"/>
        <v>658.18</v>
      </c>
    </row>
    <row r="120" spans="1:13" ht="40.200000000000003" customHeight="1">
      <c r="A120" s="32" t="s">
        <v>561</v>
      </c>
      <c r="B120" s="32" t="s">
        <v>540</v>
      </c>
      <c r="C120" s="33" t="s">
        <v>557</v>
      </c>
      <c r="D120" s="98" t="s">
        <v>10</v>
      </c>
      <c r="E120" s="98">
        <v>2</v>
      </c>
      <c r="F120" s="98">
        <v>301.95</v>
      </c>
      <c r="G120" s="98">
        <v>603.9</v>
      </c>
      <c r="H120" s="93">
        <f t="shared" si="13"/>
        <v>0</v>
      </c>
      <c r="I120" s="93">
        <f t="shared" si="14"/>
        <v>301.95</v>
      </c>
      <c r="J120" s="93">
        <f t="shared" si="15"/>
        <v>0</v>
      </c>
      <c r="K120" s="99">
        <f t="shared" si="16"/>
        <v>2</v>
      </c>
      <c r="L120" s="99">
        <f t="shared" si="17"/>
        <v>301.95</v>
      </c>
      <c r="M120" s="99">
        <f t="shared" si="18"/>
        <v>603.9</v>
      </c>
    </row>
    <row r="121" spans="1:13" ht="40.200000000000003" customHeight="1">
      <c r="A121" s="32" t="s">
        <v>564</v>
      </c>
      <c r="B121" s="32" t="s">
        <v>559</v>
      </c>
      <c r="C121" s="33" t="s">
        <v>560</v>
      </c>
      <c r="D121" s="98" t="s">
        <v>10</v>
      </c>
      <c r="E121" s="98">
        <v>2</v>
      </c>
      <c r="F121" s="98">
        <v>44.95</v>
      </c>
      <c r="G121" s="98">
        <v>89.9</v>
      </c>
      <c r="H121" s="93">
        <f t="shared" si="13"/>
        <v>0</v>
      </c>
      <c r="I121" s="93">
        <f t="shared" si="14"/>
        <v>44.95</v>
      </c>
      <c r="J121" s="93">
        <f t="shared" si="15"/>
        <v>0</v>
      </c>
      <c r="K121" s="99">
        <f t="shared" si="16"/>
        <v>2</v>
      </c>
      <c r="L121" s="99">
        <f t="shared" si="17"/>
        <v>44.95</v>
      </c>
      <c r="M121" s="99">
        <f t="shared" si="18"/>
        <v>89.9</v>
      </c>
    </row>
    <row r="122" spans="1:13" ht="40.200000000000003" customHeight="1">
      <c r="A122" s="32" t="s">
        <v>567</v>
      </c>
      <c r="B122" s="32" t="s">
        <v>562</v>
      </c>
      <c r="C122" s="33" t="s">
        <v>563</v>
      </c>
      <c r="D122" s="98" t="s">
        <v>10</v>
      </c>
      <c r="E122" s="98">
        <v>4</v>
      </c>
      <c r="F122" s="98">
        <v>38.33</v>
      </c>
      <c r="G122" s="98">
        <v>153.32</v>
      </c>
      <c r="H122" s="93">
        <f t="shared" si="13"/>
        <v>0</v>
      </c>
      <c r="I122" s="93">
        <f t="shared" si="14"/>
        <v>38.33</v>
      </c>
      <c r="J122" s="93">
        <f t="shared" si="15"/>
        <v>0</v>
      </c>
      <c r="K122" s="99">
        <f t="shared" si="16"/>
        <v>4</v>
      </c>
      <c r="L122" s="99">
        <f t="shared" si="17"/>
        <v>38.33</v>
      </c>
      <c r="M122" s="99">
        <f t="shared" si="18"/>
        <v>153.32</v>
      </c>
    </row>
    <row r="123" spans="1:13" ht="40.200000000000003" customHeight="1">
      <c r="A123" s="32" t="s">
        <v>707</v>
      </c>
      <c r="B123" s="32" t="s">
        <v>565</v>
      </c>
      <c r="C123" s="33" t="s">
        <v>566</v>
      </c>
      <c r="D123" s="98" t="s">
        <v>10</v>
      </c>
      <c r="E123" s="98">
        <v>2</v>
      </c>
      <c r="F123" s="98">
        <v>33.92</v>
      </c>
      <c r="G123" s="98">
        <v>67.84</v>
      </c>
      <c r="H123" s="93">
        <f t="shared" si="13"/>
        <v>0</v>
      </c>
      <c r="I123" s="93">
        <f t="shared" si="14"/>
        <v>33.92</v>
      </c>
      <c r="J123" s="93">
        <f t="shared" si="15"/>
        <v>0</v>
      </c>
      <c r="K123" s="99">
        <f t="shared" si="16"/>
        <v>2</v>
      </c>
      <c r="L123" s="99">
        <f t="shared" si="17"/>
        <v>33.92</v>
      </c>
      <c r="M123" s="99">
        <f t="shared" si="18"/>
        <v>67.84</v>
      </c>
    </row>
    <row r="124" spans="1:13" ht="40.200000000000003" customHeight="1">
      <c r="A124" s="32" t="s">
        <v>708</v>
      </c>
      <c r="B124" s="32" t="s">
        <v>393</v>
      </c>
      <c r="C124" s="33" t="s">
        <v>568</v>
      </c>
      <c r="D124" s="98" t="s">
        <v>10</v>
      </c>
      <c r="E124" s="98">
        <v>96</v>
      </c>
      <c r="F124" s="98">
        <v>61.13</v>
      </c>
      <c r="G124" s="98">
        <v>5868.48</v>
      </c>
      <c r="H124" s="93">
        <f t="shared" si="13"/>
        <v>0</v>
      </c>
      <c r="I124" s="93">
        <f t="shared" si="14"/>
        <v>61.13</v>
      </c>
      <c r="J124" s="93">
        <f t="shared" si="15"/>
        <v>0</v>
      </c>
      <c r="K124" s="99">
        <f t="shared" si="16"/>
        <v>96</v>
      </c>
      <c r="L124" s="99">
        <f t="shared" si="17"/>
        <v>61.13</v>
      </c>
      <c r="M124" s="99">
        <f t="shared" si="18"/>
        <v>5868.4800000000005</v>
      </c>
    </row>
    <row r="125" spans="1:13" ht="13.2">
      <c r="A125" s="175" t="s">
        <v>674</v>
      </c>
      <c r="B125" s="176"/>
      <c r="C125" s="177"/>
      <c r="D125" s="31"/>
      <c r="E125" s="31"/>
      <c r="F125" s="31"/>
      <c r="G125" s="31">
        <f>SUM(G79:G124)</f>
        <v>66890.840000000011</v>
      </c>
      <c r="H125" s="31"/>
      <c r="I125" s="31"/>
      <c r="J125" s="31">
        <f>SUM(J79:J124)</f>
        <v>33186.99</v>
      </c>
      <c r="K125" s="31"/>
      <c r="L125" s="31"/>
      <c r="M125" s="31">
        <f>SUM(M79:M124)</f>
        <v>33703.850000000006</v>
      </c>
    </row>
    <row r="126" spans="1:13" ht="13.2">
      <c r="A126" s="29" t="s">
        <v>123</v>
      </c>
      <c r="B126" s="178" t="s">
        <v>675</v>
      </c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80"/>
    </row>
    <row r="127" spans="1:13" ht="40.200000000000003" customHeight="1">
      <c r="A127" s="32" t="s">
        <v>573</v>
      </c>
      <c r="B127" s="32" t="s">
        <v>569</v>
      </c>
      <c r="C127" s="33" t="s">
        <v>570</v>
      </c>
      <c r="D127" s="98" t="s">
        <v>10</v>
      </c>
      <c r="E127" s="98">
        <v>2</v>
      </c>
      <c r="F127" s="98">
        <v>1229.57</v>
      </c>
      <c r="G127" s="98">
        <v>2459.14</v>
      </c>
      <c r="H127" s="93">
        <f>E127-K127</f>
        <v>2</v>
      </c>
      <c r="I127" s="93">
        <f>F127</f>
        <v>1229.57</v>
      </c>
      <c r="J127" s="93">
        <f>H127*I127</f>
        <v>2459.14</v>
      </c>
      <c r="K127" s="99">
        <v>0</v>
      </c>
      <c r="L127" s="99">
        <f>F127</f>
        <v>1229.57</v>
      </c>
      <c r="M127" s="99">
        <f>K127*L127</f>
        <v>0</v>
      </c>
    </row>
    <row r="128" spans="1:13" ht="40.200000000000003" customHeight="1">
      <c r="A128" s="32" t="s">
        <v>576</v>
      </c>
      <c r="B128" s="32" t="s">
        <v>571</v>
      </c>
      <c r="C128" s="33" t="s">
        <v>572</v>
      </c>
      <c r="D128" s="98" t="s">
        <v>10</v>
      </c>
      <c r="E128" s="98">
        <v>0</v>
      </c>
      <c r="F128" s="98">
        <v>92.62</v>
      </c>
      <c r="G128" s="98">
        <v>0</v>
      </c>
      <c r="H128" s="93">
        <f t="shared" ref="H128:H155" si="19">E128-K128</f>
        <v>0</v>
      </c>
      <c r="I128" s="93">
        <f t="shared" ref="I128:I155" si="20">F128</f>
        <v>92.62</v>
      </c>
      <c r="J128" s="93">
        <f t="shared" ref="J128:J155" si="21">H128*I128</f>
        <v>0</v>
      </c>
      <c r="K128" s="99">
        <v>0</v>
      </c>
      <c r="L128" s="99">
        <f t="shared" ref="L128:L155" si="22">F128</f>
        <v>92.62</v>
      </c>
      <c r="M128" s="99">
        <f t="shared" ref="M128:M155" si="23">K128*L128</f>
        <v>0</v>
      </c>
    </row>
    <row r="129" spans="1:13" ht="40.200000000000003" customHeight="1">
      <c r="A129" s="32" t="s">
        <v>578</v>
      </c>
      <c r="B129" s="32" t="s">
        <v>574</v>
      </c>
      <c r="C129" s="33" t="s">
        <v>575</v>
      </c>
      <c r="D129" s="98" t="s">
        <v>10</v>
      </c>
      <c r="E129" s="98">
        <v>11</v>
      </c>
      <c r="F129" s="98">
        <v>122.56</v>
      </c>
      <c r="G129" s="98">
        <v>1348.16</v>
      </c>
      <c r="H129" s="93">
        <f t="shared" si="19"/>
        <v>11</v>
      </c>
      <c r="I129" s="93">
        <f t="shared" si="20"/>
        <v>122.56</v>
      </c>
      <c r="J129" s="93">
        <f t="shared" si="21"/>
        <v>1348.16</v>
      </c>
      <c r="K129" s="99">
        <v>0</v>
      </c>
      <c r="L129" s="99">
        <f t="shared" si="22"/>
        <v>122.56</v>
      </c>
      <c r="M129" s="99">
        <f t="shared" si="23"/>
        <v>0</v>
      </c>
    </row>
    <row r="130" spans="1:13" ht="40.200000000000003" customHeight="1">
      <c r="A130" s="32" t="s">
        <v>581</v>
      </c>
      <c r="B130" s="32" t="s">
        <v>574</v>
      </c>
      <c r="C130" s="33" t="s">
        <v>577</v>
      </c>
      <c r="D130" s="98" t="s">
        <v>10</v>
      </c>
      <c r="E130" s="98">
        <v>4</v>
      </c>
      <c r="F130" s="98">
        <v>122.56</v>
      </c>
      <c r="G130" s="98">
        <v>490.24</v>
      </c>
      <c r="H130" s="93">
        <f t="shared" si="19"/>
        <v>4</v>
      </c>
      <c r="I130" s="93">
        <f t="shared" si="20"/>
        <v>122.56</v>
      </c>
      <c r="J130" s="93">
        <f t="shared" si="21"/>
        <v>490.24</v>
      </c>
      <c r="K130" s="99">
        <v>0</v>
      </c>
      <c r="L130" s="99">
        <f t="shared" si="22"/>
        <v>122.56</v>
      </c>
      <c r="M130" s="99">
        <f t="shared" si="23"/>
        <v>0</v>
      </c>
    </row>
    <row r="131" spans="1:13" ht="40.200000000000003" customHeight="1">
      <c r="A131" s="32" t="s">
        <v>584</v>
      </c>
      <c r="B131" s="32" t="s">
        <v>579</v>
      </c>
      <c r="C131" s="33" t="s">
        <v>580</v>
      </c>
      <c r="D131" s="98" t="s">
        <v>10</v>
      </c>
      <c r="E131" s="98">
        <v>1</v>
      </c>
      <c r="F131" s="98">
        <v>130.47999999999999</v>
      </c>
      <c r="G131" s="98">
        <v>130.47999999999999</v>
      </c>
      <c r="H131" s="93">
        <f t="shared" si="19"/>
        <v>1</v>
      </c>
      <c r="I131" s="93">
        <f t="shared" si="20"/>
        <v>130.47999999999999</v>
      </c>
      <c r="J131" s="93">
        <f t="shared" si="21"/>
        <v>130.47999999999999</v>
      </c>
      <c r="K131" s="99">
        <v>0</v>
      </c>
      <c r="L131" s="99">
        <f t="shared" si="22"/>
        <v>130.47999999999999</v>
      </c>
      <c r="M131" s="99">
        <f t="shared" si="23"/>
        <v>0</v>
      </c>
    </row>
    <row r="132" spans="1:13" ht="40.200000000000003" customHeight="1">
      <c r="A132" s="32" t="s">
        <v>587</v>
      </c>
      <c r="B132" s="32" t="s">
        <v>582</v>
      </c>
      <c r="C132" s="33" t="s">
        <v>583</v>
      </c>
      <c r="D132" s="98" t="s">
        <v>10</v>
      </c>
      <c r="E132" s="98">
        <v>2</v>
      </c>
      <c r="F132" s="98">
        <v>631.24</v>
      </c>
      <c r="G132" s="98">
        <v>1262.48</v>
      </c>
      <c r="H132" s="93">
        <f t="shared" si="19"/>
        <v>2</v>
      </c>
      <c r="I132" s="93">
        <f t="shared" si="20"/>
        <v>631.24</v>
      </c>
      <c r="J132" s="93">
        <f t="shared" si="21"/>
        <v>1262.48</v>
      </c>
      <c r="K132" s="99">
        <v>0</v>
      </c>
      <c r="L132" s="99">
        <f t="shared" si="22"/>
        <v>631.24</v>
      </c>
      <c r="M132" s="99">
        <f t="shared" si="23"/>
        <v>0</v>
      </c>
    </row>
    <row r="133" spans="1:13" ht="40.200000000000003" customHeight="1">
      <c r="A133" s="32" t="s">
        <v>590</v>
      </c>
      <c r="B133" s="32" t="s">
        <v>585</v>
      </c>
      <c r="C133" s="33" t="s">
        <v>586</v>
      </c>
      <c r="D133" s="98" t="s">
        <v>10</v>
      </c>
      <c r="E133" s="98">
        <v>2</v>
      </c>
      <c r="F133" s="98">
        <v>2139.63</v>
      </c>
      <c r="G133" s="98">
        <v>4279.26</v>
      </c>
      <c r="H133" s="93">
        <f t="shared" si="19"/>
        <v>2</v>
      </c>
      <c r="I133" s="93">
        <f t="shared" si="20"/>
        <v>2139.63</v>
      </c>
      <c r="J133" s="93">
        <f t="shared" si="21"/>
        <v>4279.26</v>
      </c>
      <c r="K133" s="99">
        <v>0</v>
      </c>
      <c r="L133" s="99">
        <f t="shared" si="22"/>
        <v>2139.63</v>
      </c>
      <c r="M133" s="99">
        <f t="shared" si="23"/>
        <v>0</v>
      </c>
    </row>
    <row r="134" spans="1:13" ht="40.200000000000003" customHeight="1">
      <c r="A134" s="32" t="s">
        <v>593</v>
      </c>
      <c r="B134" s="32" t="s">
        <v>588</v>
      </c>
      <c r="C134" s="33" t="s">
        <v>589</v>
      </c>
      <c r="D134" s="98" t="s">
        <v>10</v>
      </c>
      <c r="E134" s="98">
        <v>3</v>
      </c>
      <c r="F134" s="98">
        <v>242.53</v>
      </c>
      <c r="G134" s="98">
        <v>727.59</v>
      </c>
      <c r="H134" s="93">
        <f t="shared" si="19"/>
        <v>3</v>
      </c>
      <c r="I134" s="93">
        <f t="shared" si="20"/>
        <v>242.53</v>
      </c>
      <c r="J134" s="93">
        <f t="shared" si="21"/>
        <v>727.59</v>
      </c>
      <c r="K134" s="99">
        <v>0</v>
      </c>
      <c r="L134" s="99">
        <f t="shared" si="22"/>
        <v>242.53</v>
      </c>
      <c r="M134" s="99">
        <f t="shared" si="23"/>
        <v>0</v>
      </c>
    </row>
    <row r="135" spans="1:13" ht="40.200000000000003" customHeight="1">
      <c r="A135" s="32" t="s">
        <v>595</v>
      </c>
      <c r="B135" s="32" t="s">
        <v>591</v>
      </c>
      <c r="C135" s="33" t="s">
        <v>592</v>
      </c>
      <c r="D135" s="98" t="s">
        <v>10</v>
      </c>
      <c r="E135" s="98">
        <v>10</v>
      </c>
      <c r="F135" s="98">
        <v>266.95</v>
      </c>
      <c r="G135" s="98">
        <v>2669.5</v>
      </c>
      <c r="H135" s="93">
        <f t="shared" si="19"/>
        <v>10</v>
      </c>
      <c r="I135" s="93">
        <f t="shared" si="20"/>
        <v>266.95</v>
      </c>
      <c r="J135" s="93">
        <f t="shared" si="21"/>
        <v>2669.5</v>
      </c>
      <c r="K135" s="99">
        <v>0</v>
      </c>
      <c r="L135" s="99">
        <f t="shared" si="22"/>
        <v>266.95</v>
      </c>
      <c r="M135" s="99">
        <f t="shared" si="23"/>
        <v>0</v>
      </c>
    </row>
    <row r="136" spans="1:13" ht="40.200000000000003" customHeight="1">
      <c r="A136" s="32" t="s">
        <v>598</v>
      </c>
      <c r="B136" s="32" t="s">
        <v>588</v>
      </c>
      <c r="C136" s="33" t="s">
        <v>594</v>
      </c>
      <c r="D136" s="98" t="s">
        <v>10</v>
      </c>
      <c r="E136" s="98">
        <v>4</v>
      </c>
      <c r="F136" s="98">
        <v>500.85</v>
      </c>
      <c r="G136" s="98">
        <v>2003.4</v>
      </c>
      <c r="H136" s="93">
        <f t="shared" si="19"/>
        <v>4</v>
      </c>
      <c r="I136" s="93">
        <f t="shared" si="20"/>
        <v>500.85</v>
      </c>
      <c r="J136" s="93">
        <f t="shared" si="21"/>
        <v>2003.4</v>
      </c>
      <c r="K136" s="99">
        <v>0</v>
      </c>
      <c r="L136" s="99">
        <f t="shared" si="22"/>
        <v>500.85</v>
      </c>
      <c r="M136" s="99">
        <f t="shared" si="23"/>
        <v>0</v>
      </c>
    </row>
    <row r="137" spans="1:13" ht="40.200000000000003" customHeight="1">
      <c r="A137" s="32" t="s">
        <v>600</v>
      </c>
      <c r="B137" s="32" t="s">
        <v>596</v>
      </c>
      <c r="C137" s="33" t="s">
        <v>597</v>
      </c>
      <c r="D137" s="98" t="s">
        <v>10</v>
      </c>
      <c r="E137" s="98">
        <v>5</v>
      </c>
      <c r="F137" s="98">
        <v>188.04</v>
      </c>
      <c r="G137" s="98">
        <v>940.2</v>
      </c>
      <c r="H137" s="93">
        <f t="shared" si="19"/>
        <v>5</v>
      </c>
      <c r="I137" s="93">
        <f t="shared" si="20"/>
        <v>188.04</v>
      </c>
      <c r="J137" s="93">
        <f t="shared" si="21"/>
        <v>940.19999999999993</v>
      </c>
      <c r="K137" s="99">
        <v>0</v>
      </c>
      <c r="L137" s="99">
        <f t="shared" si="22"/>
        <v>188.04</v>
      </c>
      <c r="M137" s="99">
        <f t="shared" si="23"/>
        <v>0</v>
      </c>
    </row>
    <row r="138" spans="1:13" ht="40.200000000000003" customHeight="1">
      <c r="A138" s="32" t="s">
        <v>602</v>
      </c>
      <c r="B138" s="32" t="s">
        <v>596</v>
      </c>
      <c r="C138" s="33" t="s">
        <v>599</v>
      </c>
      <c r="D138" s="98" t="s">
        <v>10</v>
      </c>
      <c r="E138" s="98">
        <v>9</v>
      </c>
      <c r="F138" s="98">
        <v>188.04</v>
      </c>
      <c r="G138" s="98">
        <v>1692.36</v>
      </c>
      <c r="H138" s="93">
        <f t="shared" si="19"/>
        <v>9</v>
      </c>
      <c r="I138" s="93">
        <f t="shared" si="20"/>
        <v>188.04</v>
      </c>
      <c r="J138" s="93">
        <f t="shared" si="21"/>
        <v>1692.36</v>
      </c>
      <c r="K138" s="99">
        <v>0</v>
      </c>
      <c r="L138" s="99">
        <f t="shared" si="22"/>
        <v>188.04</v>
      </c>
      <c r="M138" s="99">
        <f t="shared" si="23"/>
        <v>0</v>
      </c>
    </row>
    <row r="139" spans="1:13" ht="40.200000000000003" customHeight="1">
      <c r="A139" s="32" t="s">
        <v>604</v>
      </c>
      <c r="B139" s="32" t="s">
        <v>596</v>
      </c>
      <c r="C139" s="33" t="s">
        <v>601</v>
      </c>
      <c r="D139" s="98" t="s">
        <v>10</v>
      </c>
      <c r="E139" s="98">
        <v>1</v>
      </c>
      <c r="F139" s="98">
        <v>188.04</v>
      </c>
      <c r="G139" s="98">
        <v>188.04</v>
      </c>
      <c r="H139" s="93">
        <f t="shared" si="19"/>
        <v>1</v>
      </c>
      <c r="I139" s="93">
        <f t="shared" si="20"/>
        <v>188.04</v>
      </c>
      <c r="J139" s="93">
        <f t="shared" si="21"/>
        <v>188.04</v>
      </c>
      <c r="K139" s="99">
        <v>0</v>
      </c>
      <c r="L139" s="99">
        <f t="shared" si="22"/>
        <v>188.04</v>
      </c>
      <c r="M139" s="99">
        <f t="shared" si="23"/>
        <v>0</v>
      </c>
    </row>
    <row r="140" spans="1:13" ht="40.200000000000003" customHeight="1">
      <c r="A140" s="32" t="s">
        <v>607</v>
      </c>
      <c r="B140" s="32" t="s">
        <v>588</v>
      </c>
      <c r="C140" s="33" t="s">
        <v>603</v>
      </c>
      <c r="D140" s="98" t="s">
        <v>10</v>
      </c>
      <c r="E140" s="98">
        <v>67</v>
      </c>
      <c r="F140" s="98">
        <v>242.53</v>
      </c>
      <c r="G140" s="98">
        <v>16249.51</v>
      </c>
      <c r="H140" s="93">
        <f t="shared" si="19"/>
        <v>67</v>
      </c>
      <c r="I140" s="93">
        <f t="shared" si="20"/>
        <v>242.53</v>
      </c>
      <c r="J140" s="93">
        <f t="shared" si="21"/>
        <v>16249.51</v>
      </c>
      <c r="K140" s="99">
        <v>0</v>
      </c>
      <c r="L140" s="99">
        <f t="shared" si="22"/>
        <v>242.53</v>
      </c>
      <c r="M140" s="99">
        <f t="shared" si="23"/>
        <v>0</v>
      </c>
    </row>
    <row r="141" spans="1:13" ht="40.200000000000003" customHeight="1">
      <c r="A141" s="32" t="s">
        <v>610</v>
      </c>
      <c r="B141" s="32" t="s">
        <v>605</v>
      </c>
      <c r="C141" s="33" t="s">
        <v>606</v>
      </c>
      <c r="D141" s="98" t="s">
        <v>10</v>
      </c>
      <c r="E141" s="98">
        <v>0</v>
      </c>
      <c r="F141" s="98">
        <v>3971.52</v>
      </c>
      <c r="G141" s="98">
        <v>0</v>
      </c>
      <c r="H141" s="93">
        <f t="shared" si="19"/>
        <v>0</v>
      </c>
      <c r="I141" s="93">
        <f t="shared" si="20"/>
        <v>3971.52</v>
      </c>
      <c r="J141" s="93">
        <f t="shared" si="21"/>
        <v>0</v>
      </c>
      <c r="K141" s="99">
        <v>0</v>
      </c>
      <c r="L141" s="99">
        <f t="shared" si="22"/>
        <v>3971.52</v>
      </c>
      <c r="M141" s="99">
        <f t="shared" si="23"/>
        <v>0</v>
      </c>
    </row>
    <row r="142" spans="1:13" ht="40.200000000000003" customHeight="1">
      <c r="A142" s="32" t="s">
        <v>612</v>
      </c>
      <c r="B142" s="32" t="s">
        <v>608</v>
      </c>
      <c r="C142" s="33" t="s">
        <v>609</v>
      </c>
      <c r="D142" s="98" t="s">
        <v>10</v>
      </c>
      <c r="E142" s="98">
        <v>1</v>
      </c>
      <c r="F142" s="98">
        <v>6662.34</v>
      </c>
      <c r="G142" s="98">
        <v>6662.34</v>
      </c>
      <c r="H142" s="93">
        <f t="shared" si="19"/>
        <v>1</v>
      </c>
      <c r="I142" s="93">
        <f t="shared" si="20"/>
        <v>6662.34</v>
      </c>
      <c r="J142" s="93">
        <f t="shared" si="21"/>
        <v>6662.34</v>
      </c>
      <c r="K142" s="99">
        <v>0</v>
      </c>
      <c r="L142" s="99">
        <f t="shared" si="22"/>
        <v>6662.34</v>
      </c>
      <c r="M142" s="99">
        <f t="shared" si="23"/>
        <v>0</v>
      </c>
    </row>
    <row r="143" spans="1:13" ht="40.200000000000003" customHeight="1">
      <c r="A143" s="32" t="s">
        <v>615</v>
      </c>
      <c r="B143" s="32" t="s">
        <v>608</v>
      </c>
      <c r="C143" s="33" t="s">
        <v>611</v>
      </c>
      <c r="D143" s="98" t="s">
        <v>10</v>
      </c>
      <c r="E143" s="98">
        <v>1</v>
      </c>
      <c r="F143" s="98">
        <v>4545.92</v>
      </c>
      <c r="G143" s="98">
        <v>4545.92</v>
      </c>
      <c r="H143" s="93">
        <f t="shared" si="19"/>
        <v>1</v>
      </c>
      <c r="I143" s="93">
        <f t="shared" si="20"/>
        <v>4545.92</v>
      </c>
      <c r="J143" s="93">
        <f t="shared" si="21"/>
        <v>4545.92</v>
      </c>
      <c r="K143" s="99">
        <v>0</v>
      </c>
      <c r="L143" s="99">
        <f t="shared" si="22"/>
        <v>4545.92</v>
      </c>
      <c r="M143" s="99">
        <f t="shared" si="23"/>
        <v>0</v>
      </c>
    </row>
    <row r="144" spans="1:13" ht="40.200000000000003" customHeight="1">
      <c r="A144" s="32" t="s">
        <v>618</v>
      </c>
      <c r="B144" s="32" t="s">
        <v>613</v>
      </c>
      <c r="C144" s="33" t="s">
        <v>614</v>
      </c>
      <c r="D144" s="98" t="s">
        <v>10</v>
      </c>
      <c r="E144" s="98">
        <v>2</v>
      </c>
      <c r="F144" s="98">
        <v>2901.98</v>
      </c>
      <c r="G144" s="98">
        <v>5803.96</v>
      </c>
      <c r="H144" s="93">
        <f t="shared" si="19"/>
        <v>2</v>
      </c>
      <c r="I144" s="93">
        <f t="shared" si="20"/>
        <v>2901.98</v>
      </c>
      <c r="J144" s="93">
        <f t="shared" si="21"/>
        <v>5803.96</v>
      </c>
      <c r="K144" s="99">
        <v>0</v>
      </c>
      <c r="L144" s="99">
        <f t="shared" si="22"/>
        <v>2901.98</v>
      </c>
      <c r="M144" s="99">
        <f t="shared" si="23"/>
        <v>0</v>
      </c>
    </row>
    <row r="145" spans="1:13" ht="40.200000000000003" customHeight="1">
      <c r="A145" s="32" t="s">
        <v>620</v>
      </c>
      <c r="B145" s="32" t="s">
        <v>616</v>
      </c>
      <c r="C145" s="33" t="s">
        <v>617</v>
      </c>
      <c r="D145" s="98" t="s">
        <v>10</v>
      </c>
      <c r="E145" s="98">
        <v>0</v>
      </c>
      <c r="F145" s="98">
        <v>2795.82</v>
      </c>
      <c r="G145" s="98">
        <v>0</v>
      </c>
      <c r="H145" s="93">
        <f t="shared" si="19"/>
        <v>0</v>
      </c>
      <c r="I145" s="93">
        <f t="shared" si="20"/>
        <v>2795.82</v>
      </c>
      <c r="J145" s="93">
        <f t="shared" si="21"/>
        <v>0</v>
      </c>
      <c r="K145" s="99">
        <v>0</v>
      </c>
      <c r="L145" s="99">
        <f t="shared" si="22"/>
        <v>2795.82</v>
      </c>
      <c r="M145" s="99">
        <f t="shared" si="23"/>
        <v>0</v>
      </c>
    </row>
    <row r="146" spans="1:13" ht="40.200000000000003" customHeight="1">
      <c r="A146" s="32" t="s">
        <v>622</v>
      </c>
      <c r="B146" s="32" t="s">
        <v>616</v>
      </c>
      <c r="C146" s="33" t="s">
        <v>619</v>
      </c>
      <c r="D146" s="98" t="s">
        <v>10</v>
      </c>
      <c r="E146" s="98">
        <v>0</v>
      </c>
      <c r="F146" s="98">
        <v>4526.5600000000004</v>
      </c>
      <c r="G146" s="98">
        <v>0</v>
      </c>
      <c r="H146" s="93">
        <f t="shared" si="19"/>
        <v>0</v>
      </c>
      <c r="I146" s="93">
        <f t="shared" si="20"/>
        <v>4526.5600000000004</v>
      </c>
      <c r="J146" s="93">
        <f t="shared" si="21"/>
        <v>0</v>
      </c>
      <c r="K146" s="99">
        <v>0</v>
      </c>
      <c r="L146" s="99">
        <f t="shared" si="22"/>
        <v>4526.5600000000004</v>
      </c>
      <c r="M146" s="99">
        <f t="shared" si="23"/>
        <v>0</v>
      </c>
    </row>
    <row r="147" spans="1:13" ht="40.200000000000003" customHeight="1">
      <c r="A147" s="32" t="s">
        <v>625</v>
      </c>
      <c r="B147" s="32"/>
      <c r="C147" s="33" t="s">
        <v>621</v>
      </c>
      <c r="D147" s="98" t="s">
        <v>16</v>
      </c>
      <c r="E147" s="98">
        <v>1</v>
      </c>
      <c r="F147" s="98">
        <v>5450.75</v>
      </c>
      <c r="G147" s="98">
        <v>5450.75</v>
      </c>
      <c r="H147" s="93">
        <f t="shared" si="19"/>
        <v>1</v>
      </c>
      <c r="I147" s="93">
        <f t="shared" si="20"/>
        <v>5450.75</v>
      </c>
      <c r="J147" s="93">
        <f t="shared" si="21"/>
        <v>5450.75</v>
      </c>
      <c r="K147" s="99">
        <v>0</v>
      </c>
      <c r="L147" s="99">
        <f t="shared" si="22"/>
        <v>5450.75</v>
      </c>
      <c r="M147" s="99">
        <f t="shared" si="23"/>
        <v>0</v>
      </c>
    </row>
    <row r="148" spans="1:13" ht="40.200000000000003" customHeight="1">
      <c r="A148" s="32" t="s">
        <v>628</v>
      </c>
      <c r="B148" s="32" t="s">
        <v>623</v>
      </c>
      <c r="C148" s="33" t="s">
        <v>624</v>
      </c>
      <c r="D148" s="98" t="s">
        <v>116</v>
      </c>
      <c r="E148" s="98">
        <v>66.94</v>
      </c>
      <c r="F148" s="98">
        <v>142.19999999999999</v>
      </c>
      <c r="G148" s="98">
        <v>9518.8700000000008</v>
      </c>
      <c r="H148" s="93">
        <f t="shared" si="19"/>
        <v>66.94</v>
      </c>
      <c r="I148" s="93">
        <f t="shared" si="20"/>
        <v>142.19999999999999</v>
      </c>
      <c r="J148" s="93">
        <f t="shared" si="21"/>
        <v>9518.8679999999986</v>
      </c>
      <c r="K148" s="99">
        <v>0</v>
      </c>
      <c r="L148" s="99">
        <f t="shared" si="22"/>
        <v>142.19999999999999</v>
      </c>
      <c r="M148" s="99">
        <f t="shared" si="23"/>
        <v>0</v>
      </c>
    </row>
    <row r="149" spans="1:13" ht="40.200000000000003" customHeight="1">
      <c r="A149" s="32" t="s">
        <v>631</v>
      </c>
      <c r="B149" s="32" t="s">
        <v>626</v>
      </c>
      <c r="C149" s="33" t="s">
        <v>627</v>
      </c>
      <c r="D149" s="98" t="s">
        <v>116</v>
      </c>
      <c r="E149" s="98">
        <v>445.4</v>
      </c>
      <c r="F149" s="98">
        <v>134</v>
      </c>
      <c r="G149" s="98">
        <v>59683.6</v>
      </c>
      <c r="H149" s="93">
        <f t="shared" si="19"/>
        <v>445.4</v>
      </c>
      <c r="I149" s="93">
        <f t="shared" si="20"/>
        <v>134</v>
      </c>
      <c r="J149" s="93">
        <f t="shared" si="21"/>
        <v>59683.6</v>
      </c>
      <c r="K149" s="99">
        <v>0</v>
      </c>
      <c r="L149" s="99">
        <f t="shared" si="22"/>
        <v>134</v>
      </c>
      <c r="M149" s="99">
        <f t="shared" si="23"/>
        <v>0</v>
      </c>
    </row>
    <row r="150" spans="1:13" ht="40.200000000000003" customHeight="1">
      <c r="A150" s="32" t="s">
        <v>635</v>
      </c>
      <c r="B150" s="32" t="s">
        <v>629</v>
      </c>
      <c r="C150" s="33" t="s">
        <v>630</v>
      </c>
      <c r="D150" s="98" t="s">
        <v>116</v>
      </c>
      <c r="E150" s="98">
        <v>87.4</v>
      </c>
      <c r="F150" s="98">
        <v>429.83</v>
      </c>
      <c r="G150" s="98">
        <v>37567.14</v>
      </c>
      <c r="H150" s="93">
        <f t="shared" si="19"/>
        <v>87.4</v>
      </c>
      <c r="I150" s="93">
        <f t="shared" si="20"/>
        <v>429.83</v>
      </c>
      <c r="J150" s="93">
        <f t="shared" si="21"/>
        <v>37567.142</v>
      </c>
      <c r="K150" s="99">
        <v>0</v>
      </c>
      <c r="L150" s="99">
        <f t="shared" si="22"/>
        <v>429.83</v>
      </c>
      <c r="M150" s="99">
        <f t="shared" si="23"/>
        <v>0</v>
      </c>
    </row>
    <row r="151" spans="1:13" ht="40.200000000000003" customHeight="1">
      <c r="A151" s="32" t="s">
        <v>637</v>
      </c>
      <c r="B151" s="32" t="s">
        <v>632</v>
      </c>
      <c r="C151" s="33" t="s">
        <v>633</v>
      </c>
      <c r="D151" s="98" t="s">
        <v>634</v>
      </c>
      <c r="E151" s="98">
        <v>75</v>
      </c>
      <c r="F151" s="98">
        <v>16.670000000000002</v>
      </c>
      <c r="G151" s="98">
        <v>1250.25</v>
      </c>
      <c r="H151" s="93">
        <f t="shared" si="19"/>
        <v>75</v>
      </c>
      <c r="I151" s="93">
        <f t="shared" si="20"/>
        <v>16.670000000000002</v>
      </c>
      <c r="J151" s="93">
        <f t="shared" si="21"/>
        <v>1250.2500000000002</v>
      </c>
      <c r="K151" s="99">
        <v>0</v>
      </c>
      <c r="L151" s="99">
        <f t="shared" si="22"/>
        <v>16.670000000000002</v>
      </c>
      <c r="M151" s="99">
        <f t="shared" si="23"/>
        <v>0</v>
      </c>
    </row>
    <row r="152" spans="1:13" ht="40.200000000000003" customHeight="1">
      <c r="A152" s="32" t="s">
        <v>640</v>
      </c>
      <c r="B152" s="32"/>
      <c r="C152" s="33" t="s">
        <v>636</v>
      </c>
      <c r="D152" s="98" t="s">
        <v>16</v>
      </c>
      <c r="E152" s="98">
        <v>1</v>
      </c>
      <c r="F152" s="98">
        <v>3136.6</v>
      </c>
      <c r="G152" s="98">
        <v>3136.6</v>
      </c>
      <c r="H152" s="93">
        <f t="shared" si="19"/>
        <v>1</v>
      </c>
      <c r="I152" s="93">
        <f t="shared" si="20"/>
        <v>3136.6</v>
      </c>
      <c r="J152" s="93">
        <f t="shared" si="21"/>
        <v>3136.6</v>
      </c>
      <c r="K152" s="99">
        <v>0</v>
      </c>
      <c r="L152" s="99">
        <f t="shared" si="22"/>
        <v>3136.6</v>
      </c>
      <c r="M152" s="99">
        <f t="shared" si="23"/>
        <v>0</v>
      </c>
    </row>
    <row r="153" spans="1:13" ht="40.200000000000003" customHeight="1">
      <c r="A153" s="32" t="s">
        <v>641</v>
      </c>
      <c r="B153" s="32" t="s">
        <v>638</v>
      </c>
      <c r="C153" s="33" t="s">
        <v>639</v>
      </c>
      <c r="D153" s="98" t="s">
        <v>122</v>
      </c>
      <c r="E153" s="98">
        <v>0.5</v>
      </c>
      <c r="F153" s="98">
        <v>2270.2800000000002</v>
      </c>
      <c r="G153" s="98">
        <v>1135.1400000000001</v>
      </c>
      <c r="H153" s="93">
        <f t="shared" si="19"/>
        <v>0.5</v>
      </c>
      <c r="I153" s="93">
        <f t="shared" si="20"/>
        <v>2270.2800000000002</v>
      </c>
      <c r="J153" s="93">
        <f t="shared" si="21"/>
        <v>1135.1400000000001</v>
      </c>
      <c r="K153" s="99">
        <v>0</v>
      </c>
      <c r="L153" s="99">
        <f t="shared" si="22"/>
        <v>2270.2800000000002</v>
      </c>
      <c r="M153" s="99">
        <f t="shared" si="23"/>
        <v>0</v>
      </c>
    </row>
    <row r="154" spans="1:13" ht="40.200000000000003" customHeight="1">
      <c r="A154" s="32" t="s">
        <v>709</v>
      </c>
      <c r="B154" s="32" t="s">
        <v>396</v>
      </c>
      <c r="C154" s="33" t="s">
        <v>397</v>
      </c>
      <c r="D154" s="98" t="s">
        <v>122</v>
      </c>
      <c r="E154" s="98">
        <v>0.5</v>
      </c>
      <c r="F154" s="98">
        <v>129.26</v>
      </c>
      <c r="G154" s="98">
        <v>64.63</v>
      </c>
      <c r="H154" s="93">
        <f t="shared" si="19"/>
        <v>0.5</v>
      </c>
      <c r="I154" s="93">
        <f t="shared" si="20"/>
        <v>129.26</v>
      </c>
      <c r="J154" s="93">
        <f t="shared" si="21"/>
        <v>64.63</v>
      </c>
      <c r="K154" s="99">
        <v>0</v>
      </c>
      <c r="L154" s="99">
        <f t="shared" si="22"/>
        <v>129.26</v>
      </c>
      <c r="M154" s="99">
        <f t="shared" si="23"/>
        <v>0</v>
      </c>
    </row>
    <row r="155" spans="1:13" ht="40.200000000000003" customHeight="1">
      <c r="A155" s="32" t="s">
        <v>710</v>
      </c>
      <c r="B155" s="32" t="s">
        <v>399</v>
      </c>
      <c r="C155" s="33" t="s">
        <v>400</v>
      </c>
      <c r="D155" s="98" t="s">
        <v>122</v>
      </c>
      <c r="E155" s="98">
        <v>0.5</v>
      </c>
      <c r="F155" s="98">
        <v>25.33</v>
      </c>
      <c r="G155" s="98">
        <v>12.67</v>
      </c>
      <c r="H155" s="93">
        <f t="shared" si="19"/>
        <v>0.5</v>
      </c>
      <c r="I155" s="93">
        <f t="shared" si="20"/>
        <v>25.33</v>
      </c>
      <c r="J155" s="93">
        <f t="shared" si="21"/>
        <v>12.664999999999999</v>
      </c>
      <c r="K155" s="99">
        <v>0</v>
      </c>
      <c r="L155" s="99">
        <f t="shared" si="22"/>
        <v>25.33</v>
      </c>
      <c r="M155" s="99">
        <f t="shared" si="23"/>
        <v>0</v>
      </c>
    </row>
    <row r="156" spans="1:13" ht="13.2">
      <c r="A156" s="175" t="s">
        <v>676</v>
      </c>
      <c r="B156" s="176"/>
      <c r="C156" s="177"/>
      <c r="D156" s="31"/>
      <c r="E156" s="31"/>
      <c r="F156" s="31"/>
      <c r="G156" s="31">
        <f>SUM(G127:G155)</f>
        <v>169272.23000000004</v>
      </c>
      <c r="H156" s="31"/>
      <c r="I156" s="31"/>
      <c r="J156" s="31">
        <f>SUM(J127:J155)</f>
        <v>169272.22500000001</v>
      </c>
      <c r="K156" s="31"/>
      <c r="L156" s="31"/>
      <c r="M156" s="31">
        <f>SUM(M127:M155)</f>
        <v>0</v>
      </c>
    </row>
    <row r="157" spans="1:13" ht="13.2">
      <c r="A157" s="29" t="s">
        <v>125</v>
      </c>
      <c r="B157" s="178" t="s">
        <v>652</v>
      </c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80"/>
    </row>
    <row r="158" spans="1:13" ht="40.200000000000003" customHeight="1">
      <c r="A158" s="32" t="s">
        <v>642</v>
      </c>
      <c r="B158" s="32" t="s">
        <v>653</v>
      </c>
      <c r="C158" s="33" t="s">
        <v>654</v>
      </c>
      <c r="D158" s="98" t="s">
        <v>15</v>
      </c>
      <c r="E158" s="98">
        <v>50</v>
      </c>
      <c r="F158" s="98">
        <v>29.59</v>
      </c>
      <c r="G158" s="98">
        <v>1479.5</v>
      </c>
      <c r="H158" s="93">
        <f t="shared" ref="H158" si="24">E158-K158</f>
        <v>50</v>
      </c>
      <c r="I158" s="93">
        <f t="shared" ref="I158" si="25">F158</f>
        <v>29.59</v>
      </c>
      <c r="J158" s="93">
        <f t="shared" ref="J158" si="26">H158*I158</f>
        <v>1479.5</v>
      </c>
      <c r="K158" s="99">
        <v>0</v>
      </c>
      <c r="L158" s="99">
        <f t="shared" ref="L158" si="27">F158</f>
        <v>29.59</v>
      </c>
      <c r="M158" s="99">
        <f t="shared" ref="M158" si="28">K158*L158</f>
        <v>0</v>
      </c>
    </row>
    <row r="159" spans="1:13" ht="40.200000000000003" customHeight="1">
      <c r="A159" s="32" t="s">
        <v>643</v>
      </c>
      <c r="B159" s="32" t="s">
        <v>655</v>
      </c>
      <c r="C159" s="33" t="s">
        <v>656</v>
      </c>
      <c r="D159" s="98" t="s">
        <v>15</v>
      </c>
      <c r="E159" s="98">
        <v>70</v>
      </c>
      <c r="F159" s="98">
        <v>26.55</v>
      </c>
      <c r="G159" s="98">
        <v>1858.5</v>
      </c>
      <c r="H159" s="93">
        <f t="shared" ref="H159:H167" si="29">E159-K159</f>
        <v>70</v>
      </c>
      <c r="I159" s="93">
        <f t="shared" ref="I159:I167" si="30">F159</f>
        <v>26.55</v>
      </c>
      <c r="J159" s="93">
        <f t="shared" ref="J159:J167" si="31">H159*I159</f>
        <v>1858.5</v>
      </c>
      <c r="K159" s="99">
        <v>0</v>
      </c>
      <c r="L159" s="99">
        <f t="shared" ref="L159:L167" si="32">F159</f>
        <v>26.55</v>
      </c>
      <c r="M159" s="99">
        <f t="shared" ref="M159:M167" si="33">K159*L159</f>
        <v>0</v>
      </c>
    </row>
    <row r="160" spans="1:13" ht="40.200000000000003" customHeight="1">
      <c r="A160" s="32" t="s">
        <v>644</v>
      </c>
      <c r="B160" s="32" t="s">
        <v>657</v>
      </c>
      <c r="C160" s="33" t="s">
        <v>658</v>
      </c>
      <c r="D160" s="98" t="s">
        <v>10</v>
      </c>
      <c r="E160" s="98">
        <v>20</v>
      </c>
      <c r="F160" s="98">
        <v>16.87</v>
      </c>
      <c r="G160" s="98">
        <v>337.4</v>
      </c>
      <c r="H160" s="93">
        <f t="shared" si="29"/>
        <v>20</v>
      </c>
      <c r="I160" s="93">
        <f t="shared" si="30"/>
        <v>16.87</v>
      </c>
      <c r="J160" s="93">
        <f t="shared" si="31"/>
        <v>337.40000000000003</v>
      </c>
      <c r="K160" s="99">
        <v>0</v>
      </c>
      <c r="L160" s="99">
        <f t="shared" si="32"/>
        <v>16.87</v>
      </c>
      <c r="M160" s="99">
        <f t="shared" si="33"/>
        <v>0</v>
      </c>
    </row>
    <row r="161" spans="1:13" ht="40.200000000000003" customHeight="1">
      <c r="A161" s="32" t="s">
        <v>645</v>
      </c>
      <c r="B161" s="32" t="s">
        <v>657</v>
      </c>
      <c r="C161" s="33" t="s">
        <v>659</v>
      </c>
      <c r="D161" s="98" t="s">
        <v>10</v>
      </c>
      <c r="E161" s="98">
        <v>18</v>
      </c>
      <c r="F161" s="98">
        <v>16.87</v>
      </c>
      <c r="G161" s="98">
        <v>303.66000000000003</v>
      </c>
      <c r="H161" s="93">
        <f t="shared" si="29"/>
        <v>18</v>
      </c>
      <c r="I161" s="93">
        <f t="shared" si="30"/>
        <v>16.87</v>
      </c>
      <c r="J161" s="93">
        <f t="shared" si="31"/>
        <v>303.66000000000003</v>
      </c>
      <c r="K161" s="99">
        <v>0</v>
      </c>
      <c r="L161" s="99">
        <f t="shared" si="32"/>
        <v>16.87</v>
      </c>
      <c r="M161" s="99">
        <f t="shared" si="33"/>
        <v>0</v>
      </c>
    </row>
    <row r="162" spans="1:13" ht="40.200000000000003" customHeight="1">
      <c r="A162" s="32" t="s">
        <v>646</v>
      </c>
      <c r="B162" s="32" t="s">
        <v>660</v>
      </c>
      <c r="C162" s="33" t="s">
        <v>661</v>
      </c>
      <c r="D162" s="98" t="s">
        <v>10</v>
      </c>
      <c r="E162" s="98">
        <v>10</v>
      </c>
      <c r="F162" s="98">
        <v>6.64</v>
      </c>
      <c r="G162" s="98">
        <v>66.400000000000006</v>
      </c>
      <c r="H162" s="93">
        <f t="shared" si="29"/>
        <v>10</v>
      </c>
      <c r="I162" s="93">
        <f t="shared" si="30"/>
        <v>6.64</v>
      </c>
      <c r="J162" s="93">
        <f t="shared" si="31"/>
        <v>66.399999999999991</v>
      </c>
      <c r="K162" s="99">
        <v>0</v>
      </c>
      <c r="L162" s="99">
        <f t="shared" si="32"/>
        <v>6.64</v>
      </c>
      <c r="M162" s="99">
        <f t="shared" si="33"/>
        <v>0</v>
      </c>
    </row>
    <row r="163" spans="1:13" ht="40.200000000000003" customHeight="1">
      <c r="A163" s="32" t="s">
        <v>647</v>
      </c>
      <c r="B163" s="32" t="s">
        <v>662</v>
      </c>
      <c r="C163" s="33" t="s">
        <v>663</v>
      </c>
      <c r="D163" s="98" t="s">
        <v>10</v>
      </c>
      <c r="E163" s="98">
        <v>5</v>
      </c>
      <c r="F163" s="98">
        <v>8.85</v>
      </c>
      <c r="G163" s="98">
        <v>44.25</v>
      </c>
      <c r="H163" s="93">
        <f t="shared" si="29"/>
        <v>5</v>
      </c>
      <c r="I163" s="93">
        <f t="shared" si="30"/>
        <v>8.85</v>
      </c>
      <c r="J163" s="93">
        <f t="shared" si="31"/>
        <v>44.25</v>
      </c>
      <c r="K163" s="99">
        <v>0</v>
      </c>
      <c r="L163" s="99">
        <f t="shared" si="32"/>
        <v>8.85</v>
      </c>
      <c r="M163" s="99">
        <f t="shared" si="33"/>
        <v>0</v>
      </c>
    </row>
    <row r="164" spans="1:13" ht="40.200000000000003" customHeight="1">
      <c r="A164" s="32" t="s">
        <v>648</v>
      </c>
      <c r="B164" s="32" t="s">
        <v>664</v>
      </c>
      <c r="C164" s="33" t="s">
        <v>665</v>
      </c>
      <c r="D164" s="98" t="s">
        <v>15</v>
      </c>
      <c r="E164" s="98">
        <v>30</v>
      </c>
      <c r="F164" s="98">
        <v>4.92</v>
      </c>
      <c r="G164" s="98">
        <v>147.6</v>
      </c>
      <c r="H164" s="93">
        <f t="shared" si="29"/>
        <v>30</v>
      </c>
      <c r="I164" s="93">
        <f t="shared" si="30"/>
        <v>4.92</v>
      </c>
      <c r="J164" s="93">
        <f t="shared" si="31"/>
        <v>147.6</v>
      </c>
      <c r="K164" s="99">
        <v>0</v>
      </c>
      <c r="L164" s="99">
        <f t="shared" si="32"/>
        <v>4.92</v>
      </c>
      <c r="M164" s="99">
        <f t="shared" si="33"/>
        <v>0</v>
      </c>
    </row>
    <row r="165" spans="1:13" ht="40.200000000000003" customHeight="1">
      <c r="A165" s="32" t="s">
        <v>649</v>
      </c>
      <c r="B165" s="32" t="s">
        <v>664</v>
      </c>
      <c r="C165" s="33" t="s">
        <v>666</v>
      </c>
      <c r="D165" s="98" t="s">
        <v>15</v>
      </c>
      <c r="E165" s="98">
        <v>30</v>
      </c>
      <c r="F165" s="98">
        <v>4.92</v>
      </c>
      <c r="G165" s="98">
        <v>147.6</v>
      </c>
      <c r="H165" s="93">
        <f t="shared" si="29"/>
        <v>30</v>
      </c>
      <c r="I165" s="93">
        <f t="shared" si="30"/>
        <v>4.92</v>
      </c>
      <c r="J165" s="93">
        <f t="shared" si="31"/>
        <v>147.6</v>
      </c>
      <c r="K165" s="99">
        <v>0</v>
      </c>
      <c r="L165" s="99">
        <f t="shared" si="32"/>
        <v>4.92</v>
      </c>
      <c r="M165" s="99">
        <f t="shared" si="33"/>
        <v>0</v>
      </c>
    </row>
    <row r="166" spans="1:13" ht="40.200000000000003" customHeight="1">
      <c r="A166" s="32" t="s">
        <v>650</v>
      </c>
      <c r="B166" s="32" t="s">
        <v>667</v>
      </c>
      <c r="C166" s="33" t="s">
        <v>668</v>
      </c>
      <c r="D166" s="98" t="s">
        <v>122</v>
      </c>
      <c r="E166" s="98">
        <v>5</v>
      </c>
      <c r="F166" s="98">
        <v>123.27</v>
      </c>
      <c r="G166" s="98">
        <v>616.35</v>
      </c>
      <c r="H166" s="93">
        <f t="shared" si="29"/>
        <v>5</v>
      </c>
      <c r="I166" s="93">
        <f t="shared" si="30"/>
        <v>123.27</v>
      </c>
      <c r="J166" s="93">
        <f t="shared" si="31"/>
        <v>616.35</v>
      </c>
      <c r="K166" s="99">
        <v>0</v>
      </c>
      <c r="L166" s="99">
        <f t="shared" si="32"/>
        <v>123.27</v>
      </c>
      <c r="M166" s="99">
        <f t="shared" si="33"/>
        <v>0</v>
      </c>
    </row>
    <row r="167" spans="1:13" ht="40.200000000000003" customHeight="1">
      <c r="A167" s="32" t="s">
        <v>651</v>
      </c>
      <c r="B167" s="32" t="s">
        <v>669</v>
      </c>
      <c r="C167" s="33" t="s">
        <v>670</v>
      </c>
      <c r="D167" s="98" t="s">
        <v>122</v>
      </c>
      <c r="E167" s="98">
        <v>5</v>
      </c>
      <c r="F167" s="98">
        <v>38.01</v>
      </c>
      <c r="G167" s="98">
        <v>190.05</v>
      </c>
      <c r="H167" s="93">
        <f t="shared" si="29"/>
        <v>5</v>
      </c>
      <c r="I167" s="93">
        <f t="shared" si="30"/>
        <v>38.01</v>
      </c>
      <c r="J167" s="93">
        <f t="shared" si="31"/>
        <v>190.04999999999998</v>
      </c>
      <c r="K167" s="99">
        <v>0</v>
      </c>
      <c r="L167" s="99">
        <f t="shared" si="32"/>
        <v>38.01</v>
      </c>
      <c r="M167" s="99">
        <f t="shared" si="33"/>
        <v>0</v>
      </c>
    </row>
    <row r="168" spans="1:13" ht="13.2">
      <c r="A168" s="175" t="s">
        <v>677</v>
      </c>
      <c r="B168" s="176"/>
      <c r="C168" s="177"/>
      <c r="D168" s="31"/>
      <c r="E168" s="31"/>
      <c r="F168" s="31"/>
      <c r="G168" s="31">
        <f>SUM(G158:G167)</f>
        <v>5191.3100000000013</v>
      </c>
      <c r="H168" s="31"/>
      <c r="I168" s="31"/>
      <c r="J168" s="31">
        <f>SUM(J158:J167)</f>
        <v>5191.3100000000013</v>
      </c>
      <c r="K168" s="31"/>
      <c r="L168" s="31"/>
      <c r="M168" s="31">
        <f>SUM(M158:M167)</f>
        <v>0</v>
      </c>
    </row>
    <row r="169" spans="1:13" ht="13.2">
      <c r="A169" s="175" t="s">
        <v>844</v>
      </c>
      <c r="B169" s="176"/>
      <c r="C169" s="177"/>
      <c r="D169" s="31"/>
      <c r="E169" s="31"/>
      <c r="F169" s="31"/>
      <c r="G169" s="31">
        <f>G168+G156+G125+G77+G46</f>
        <v>362916.75000000006</v>
      </c>
      <c r="H169" s="31"/>
      <c r="I169" s="31"/>
      <c r="J169" s="31">
        <f>J168+J156+J125+J77+J46</f>
        <v>256193.125</v>
      </c>
      <c r="K169" s="31"/>
      <c r="L169" s="31"/>
      <c r="M169" s="31">
        <f>M168+M156+M125+M77+M46</f>
        <v>106723.61000000002</v>
      </c>
    </row>
    <row r="170" spans="1:13" ht="13.2">
      <c r="A170" s="29" t="s">
        <v>127</v>
      </c>
      <c r="B170" s="29"/>
      <c r="C170" s="174" t="s">
        <v>845</v>
      </c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</row>
    <row r="171" spans="1:13" ht="13.2">
      <c r="A171" s="100">
        <v>152</v>
      </c>
      <c r="B171" s="100" t="s">
        <v>847</v>
      </c>
      <c r="C171" s="100" t="s">
        <v>848</v>
      </c>
      <c r="D171" s="101" t="s">
        <v>16</v>
      </c>
      <c r="E171" s="102">
        <v>1</v>
      </c>
      <c r="F171" s="102">
        <v>96288</v>
      </c>
      <c r="G171" s="102">
        <f>E171*F171</f>
        <v>96288</v>
      </c>
      <c r="H171" s="93">
        <f>E171-K171</f>
        <v>0.5</v>
      </c>
      <c r="I171" s="93">
        <f>F171</f>
        <v>96288</v>
      </c>
      <c r="J171" s="93">
        <f>H171*I171</f>
        <v>48144</v>
      </c>
      <c r="K171" s="99">
        <f>0.5*E171</f>
        <v>0.5</v>
      </c>
      <c r="L171" s="99">
        <f>F171</f>
        <v>96288</v>
      </c>
      <c r="M171" s="99">
        <f>K171*L171</f>
        <v>48144</v>
      </c>
    </row>
    <row r="172" spans="1:13" ht="13.2">
      <c r="A172" s="175" t="s">
        <v>846</v>
      </c>
      <c r="B172" s="176"/>
      <c r="C172" s="177"/>
      <c r="D172" s="31"/>
      <c r="E172" s="31"/>
      <c r="F172" s="31"/>
      <c r="G172" s="31">
        <f>G171</f>
        <v>96288</v>
      </c>
      <c r="H172" s="31"/>
      <c r="I172" s="31"/>
      <c r="J172" s="31">
        <f>J171</f>
        <v>48144</v>
      </c>
      <c r="K172" s="31"/>
      <c r="L172" s="31"/>
      <c r="M172" s="31">
        <f>M171</f>
        <v>48144</v>
      </c>
    </row>
    <row r="173" spans="1:13" ht="13.2">
      <c r="D173" s="162" t="s">
        <v>277</v>
      </c>
      <c r="E173" s="162"/>
      <c r="F173" s="162"/>
      <c r="G173" s="34">
        <f>G169+G172</f>
        <v>459204.75000000006</v>
      </c>
      <c r="H173" s="163" t="s">
        <v>277</v>
      </c>
      <c r="I173" s="163"/>
      <c r="J173" s="35">
        <f>J169+J172</f>
        <v>304337.125</v>
      </c>
      <c r="K173" s="164" t="s">
        <v>277</v>
      </c>
      <c r="L173" s="164"/>
      <c r="M173" s="107">
        <f>M169+M172</f>
        <v>154867.61000000002</v>
      </c>
    </row>
    <row r="174" spans="1:13" ht="13.2">
      <c r="D174" s="162" t="s">
        <v>278</v>
      </c>
      <c r="E174" s="162"/>
      <c r="F174" s="162"/>
      <c r="G174" s="34">
        <f>G173*1.23</f>
        <v>564821.84250000003</v>
      </c>
      <c r="H174" s="163" t="s">
        <v>278</v>
      </c>
      <c r="I174" s="163"/>
      <c r="J174" s="35">
        <f>J173*1.23</f>
        <v>374334.66375000001</v>
      </c>
      <c r="K174" s="164" t="s">
        <v>278</v>
      </c>
      <c r="L174" s="164"/>
      <c r="M174" s="36">
        <f>M173*1.23</f>
        <v>190487.16030000002</v>
      </c>
    </row>
  </sheetData>
  <mergeCells count="25">
    <mergeCell ref="A1:M1"/>
    <mergeCell ref="D2:G2"/>
    <mergeCell ref="H2:J2"/>
    <mergeCell ref="K2:M2"/>
    <mergeCell ref="A168:C168"/>
    <mergeCell ref="A6:M6"/>
    <mergeCell ref="C7:M7"/>
    <mergeCell ref="C8:M8"/>
    <mergeCell ref="B47:M47"/>
    <mergeCell ref="A46:C46"/>
    <mergeCell ref="H173:I173"/>
    <mergeCell ref="H174:I174"/>
    <mergeCell ref="K173:L173"/>
    <mergeCell ref="K174:L174"/>
    <mergeCell ref="D173:F173"/>
    <mergeCell ref="D174:F174"/>
    <mergeCell ref="C170:M170"/>
    <mergeCell ref="A172:C172"/>
    <mergeCell ref="A77:C77"/>
    <mergeCell ref="B78:M78"/>
    <mergeCell ref="A125:C125"/>
    <mergeCell ref="B126:M126"/>
    <mergeCell ref="A156:C156"/>
    <mergeCell ref="B157:M157"/>
    <mergeCell ref="A169:C1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sqref="A1:M1"/>
    </sheetView>
  </sheetViews>
  <sheetFormatPr defaultRowHeight="13.2"/>
  <cols>
    <col min="3" max="3" width="26.109375" customWidth="1"/>
    <col min="4" max="4" width="8.88671875" style="17"/>
    <col min="5" max="5" width="10.88671875" style="24" bestFit="1" customWidth="1"/>
    <col min="6" max="6" width="11.88671875" style="24" bestFit="1" customWidth="1"/>
    <col min="7" max="7" width="13" style="24" bestFit="1" customWidth="1"/>
    <col min="8" max="8" width="11.33203125" style="24" bestFit="1" customWidth="1"/>
    <col min="9" max="9" width="12.33203125" style="24" bestFit="1" customWidth="1"/>
    <col min="10" max="10" width="12.88671875" style="24" bestFit="1" customWidth="1"/>
    <col min="11" max="11" width="11.33203125" style="24" bestFit="1" customWidth="1"/>
    <col min="12" max="12" width="12.33203125" style="24" bestFit="1" customWidth="1"/>
    <col min="13" max="13" width="12.88671875" style="24" bestFit="1" customWidth="1"/>
  </cols>
  <sheetData>
    <row r="1" spans="1:17" s="17" customFormat="1" ht="16.2" thickBot="1">
      <c r="A1" s="181" t="s">
        <v>872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/>
      <c r="Q1" s="18"/>
    </row>
    <row r="2" spans="1:17" s="17" customFormat="1" ht="13.8">
      <c r="A2" s="1"/>
      <c r="B2" s="1"/>
      <c r="C2" s="1"/>
      <c r="D2" s="195" t="s">
        <v>113</v>
      </c>
      <c r="E2" s="196"/>
      <c r="F2" s="196"/>
      <c r="G2" s="197"/>
      <c r="H2" s="198" t="s">
        <v>279</v>
      </c>
      <c r="I2" s="199"/>
      <c r="J2" s="200"/>
      <c r="K2" s="201" t="s">
        <v>18</v>
      </c>
      <c r="L2" s="202"/>
      <c r="M2" s="203"/>
      <c r="Q2" s="18"/>
    </row>
    <row r="3" spans="1:17" s="17" customFormat="1" ht="39.6">
      <c r="A3" s="94" t="s">
        <v>0</v>
      </c>
      <c r="B3" s="94" t="s">
        <v>1</v>
      </c>
      <c r="C3" s="42" t="s">
        <v>2</v>
      </c>
      <c r="D3" s="96" t="s">
        <v>3</v>
      </c>
      <c r="E3" s="43" t="s">
        <v>4</v>
      </c>
      <c r="F3" s="3" t="s">
        <v>5</v>
      </c>
      <c r="G3" s="4" t="s">
        <v>7</v>
      </c>
      <c r="H3" s="44" t="s">
        <v>4</v>
      </c>
      <c r="I3" s="5" t="s">
        <v>5</v>
      </c>
      <c r="J3" s="6" t="s">
        <v>7</v>
      </c>
      <c r="K3" s="45" t="s">
        <v>4</v>
      </c>
      <c r="L3" s="7" t="s">
        <v>5</v>
      </c>
      <c r="M3" s="8" t="s">
        <v>7</v>
      </c>
      <c r="Q3" s="18"/>
    </row>
    <row r="4" spans="1:17" s="17" customFormat="1">
      <c r="A4" s="95"/>
      <c r="B4" s="95"/>
      <c r="C4" s="46"/>
      <c r="D4" s="97"/>
      <c r="E4" s="47"/>
      <c r="F4" s="3" t="s">
        <v>6</v>
      </c>
      <c r="G4" s="4" t="s">
        <v>6</v>
      </c>
      <c r="H4" s="48"/>
      <c r="I4" s="5" t="s">
        <v>6</v>
      </c>
      <c r="J4" s="6" t="s">
        <v>6</v>
      </c>
      <c r="K4" s="49"/>
      <c r="L4" s="7" t="s">
        <v>6</v>
      </c>
      <c r="M4" s="8" t="s">
        <v>6</v>
      </c>
      <c r="Q4" s="18"/>
    </row>
    <row r="5" spans="1:17" ht="40.200000000000003" customHeight="1">
      <c r="A5" s="95"/>
      <c r="B5" s="95"/>
      <c r="C5" s="46"/>
      <c r="D5" s="97"/>
      <c r="E5" s="47"/>
      <c r="F5" s="9"/>
      <c r="G5" s="10" t="s">
        <v>8</v>
      </c>
      <c r="H5" s="48"/>
      <c r="I5" s="25"/>
      <c r="J5" s="26" t="s">
        <v>280</v>
      </c>
      <c r="K5" s="49"/>
      <c r="L5" s="27"/>
      <c r="M5" s="28" t="s">
        <v>281</v>
      </c>
    </row>
    <row r="6" spans="1:17" ht="40.200000000000003" customHeight="1">
      <c r="A6" s="30">
        <v>1</v>
      </c>
      <c r="B6" s="178" t="s">
        <v>849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80"/>
    </row>
    <row r="7" spans="1:17" ht="40.200000000000003" customHeight="1">
      <c r="A7" s="33" t="s">
        <v>9</v>
      </c>
      <c r="B7" s="33" t="s">
        <v>19</v>
      </c>
      <c r="C7" s="33" t="s">
        <v>20</v>
      </c>
      <c r="D7" s="103" t="s">
        <v>15</v>
      </c>
      <c r="E7" s="104">
        <v>71</v>
      </c>
      <c r="F7" s="104">
        <v>49.04</v>
      </c>
      <c r="G7" s="104">
        <v>3481.84</v>
      </c>
      <c r="H7" s="93">
        <f>E7-K7</f>
        <v>0</v>
      </c>
      <c r="I7" s="93">
        <f>F7</f>
        <v>49.04</v>
      </c>
      <c r="J7" s="93">
        <f>H7*I7</f>
        <v>0</v>
      </c>
      <c r="K7" s="99">
        <f>E7</f>
        <v>71</v>
      </c>
      <c r="L7" s="99">
        <f t="shared" ref="L7" si="0">F7</f>
        <v>49.04</v>
      </c>
      <c r="M7" s="99">
        <f>K7*L7</f>
        <v>3481.84</v>
      </c>
    </row>
    <row r="8" spans="1:17" ht="40.200000000000003" customHeight="1">
      <c r="A8" s="33" t="s">
        <v>11</v>
      </c>
      <c r="B8" s="33" t="s">
        <v>21</v>
      </c>
      <c r="C8" s="33" t="s">
        <v>22</v>
      </c>
      <c r="D8" s="103" t="s">
        <v>10</v>
      </c>
      <c r="E8" s="104">
        <v>82</v>
      </c>
      <c r="F8" s="104">
        <v>14.79</v>
      </c>
      <c r="G8" s="104">
        <v>1212.78</v>
      </c>
      <c r="H8" s="93">
        <f t="shared" ref="H8:H11" si="1">E8-K8</f>
        <v>0</v>
      </c>
      <c r="I8" s="93">
        <f t="shared" ref="I8:I11" si="2">F8</f>
        <v>14.79</v>
      </c>
      <c r="J8" s="93">
        <f t="shared" ref="J8:J11" si="3">H8*I8</f>
        <v>0</v>
      </c>
      <c r="K8" s="99">
        <f t="shared" ref="K8:K11" si="4">E8</f>
        <v>82</v>
      </c>
      <c r="L8" s="99">
        <f t="shared" ref="L8:L11" si="5">F8</f>
        <v>14.79</v>
      </c>
      <c r="M8" s="99">
        <f t="shared" ref="M8:M11" si="6">K8*L8</f>
        <v>1212.78</v>
      </c>
    </row>
    <row r="9" spans="1:17" ht="40.200000000000003" customHeight="1">
      <c r="A9" s="33" t="s">
        <v>12</v>
      </c>
      <c r="B9" s="33" t="s">
        <v>23</v>
      </c>
      <c r="C9" s="33" t="s">
        <v>24</v>
      </c>
      <c r="D9" s="103" t="s">
        <v>15</v>
      </c>
      <c r="E9" s="104">
        <v>18</v>
      </c>
      <c r="F9" s="104">
        <v>38.200000000000003</v>
      </c>
      <c r="G9" s="104">
        <v>687.6</v>
      </c>
      <c r="H9" s="93">
        <f t="shared" si="1"/>
        <v>0</v>
      </c>
      <c r="I9" s="93">
        <f t="shared" si="2"/>
        <v>38.200000000000003</v>
      </c>
      <c r="J9" s="93">
        <f t="shared" si="3"/>
        <v>0</v>
      </c>
      <c r="K9" s="99">
        <f t="shared" si="4"/>
        <v>18</v>
      </c>
      <c r="L9" s="99">
        <f t="shared" si="5"/>
        <v>38.200000000000003</v>
      </c>
      <c r="M9" s="99">
        <f t="shared" si="6"/>
        <v>687.6</v>
      </c>
    </row>
    <row r="10" spans="1:17" ht="40.200000000000003" customHeight="1">
      <c r="A10" s="33" t="s">
        <v>13</v>
      </c>
      <c r="B10" s="33" t="s">
        <v>25</v>
      </c>
      <c r="C10" s="33" t="s">
        <v>26</v>
      </c>
      <c r="D10" s="103" t="s">
        <v>15</v>
      </c>
      <c r="E10" s="104">
        <v>15</v>
      </c>
      <c r="F10" s="104">
        <v>170.24</v>
      </c>
      <c r="G10" s="104">
        <v>2553.6</v>
      </c>
      <c r="H10" s="93">
        <f t="shared" si="1"/>
        <v>0</v>
      </c>
      <c r="I10" s="93">
        <f t="shared" si="2"/>
        <v>170.24</v>
      </c>
      <c r="J10" s="93">
        <f t="shared" si="3"/>
        <v>0</v>
      </c>
      <c r="K10" s="99">
        <f t="shared" si="4"/>
        <v>15</v>
      </c>
      <c r="L10" s="99">
        <f t="shared" si="5"/>
        <v>170.24</v>
      </c>
      <c r="M10" s="99">
        <f t="shared" si="6"/>
        <v>2553.6000000000004</v>
      </c>
    </row>
    <row r="11" spans="1:17" ht="40.200000000000003" customHeight="1">
      <c r="A11" s="33" t="s">
        <v>14</v>
      </c>
      <c r="B11" s="33" t="s">
        <v>27</v>
      </c>
      <c r="C11" s="33" t="s">
        <v>28</v>
      </c>
      <c r="D11" s="103" t="s">
        <v>15</v>
      </c>
      <c r="E11" s="104">
        <v>234</v>
      </c>
      <c r="F11" s="104">
        <v>5.79</v>
      </c>
      <c r="G11" s="104">
        <v>1354.86</v>
      </c>
      <c r="H11" s="93">
        <f t="shared" si="1"/>
        <v>0</v>
      </c>
      <c r="I11" s="93">
        <f t="shared" si="2"/>
        <v>5.79</v>
      </c>
      <c r="J11" s="93">
        <f t="shared" si="3"/>
        <v>0</v>
      </c>
      <c r="K11" s="99">
        <f t="shared" si="4"/>
        <v>234</v>
      </c>
      <c r="L11" s="99">
        <f t="shared" si="5"/>
        <v>5.79</v>
      </c>
      <c r="M11" s="99">
        <f t="shared" si="6"/>
        <v>1354.86</v>
      </c>
    </row>
    <row r="12" spans="1:17" ht="40.200000000000003" customHeight="1">
      <c r="A12" s="178" t="s">
        <v>850</v>
      </c>
      <c r="B12" s="179"/>
      <c r="C12" s="180"/>
      <c r="D12" s="30"/>
      <c r="E12" s="105"/>
      <c r="F12" s="105"/>
      <c r="G12" s="105">
        <f>SUM(G7:G11)</f>
        <v>9290.68</v>
      </c>
      <c r="H12" s="31"/>
      <c r="I12" s="31"/>
      <c r="J12" s="105">
        <f>SUM(J7:J11)</f>
        <v>0</v>
      </c>
      <c r="K12" s="31"/>
      <c r="L12" s="31"/>
      <c r="M12" s="105">
        <f>SUM(M7:M11)</f>
        <v>9290.68</v>
      </c>
    </row>
    <row r="13" spans="1:17" ht="40.200000000000003" customHeight="1">
      <c r="A13" s="30">
        <v>2</v>
      </c>
      <c r="B13" s="178" t="s">
        <v>29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80"/>
    </row>
    <row r="14" spans="1:17" ht="40.200000000000003" customHeight="1">
      <c r="A14" s="33" t="s">
        <v>30</v>
      </c>
      <c r="B14" s="33" t="s">
        <v>31</v>
      </c>
      <c r="C14" s="33" t="s">
        <v>32</v>
      </c>
      <c r="D14" s="103" t="s">
        <v>10</v>
      </c>
      <c r="E14" s="104">
        <v>1</v>
      </c>
      <c r="F14" s="104">
        <v>10680.91</v>
      </c>
      <c r="G14" s="104">
        <v>10680.91</v>
      </c>
      <c r="H14" s="93">
        <f t="shared" ref="H14:H15" si="7">E14-K14</f>
        <v>0</v>
      </c>
      <c r="I14" s="93">
        <f t="shared" ref="I14:I15" si="8">F14</f>
        <v>10680.91</v>
      </c>
      <c r="J14" s="93">
        <f t="shared" ref="J14:J15" si="9">H14*I14</f>
        <v>0</v>
      </c>
      <c r="K14" s="99">
        <f t="shared" ref="K14:K15" si="10">E14</f>
        <v>1</v>
      </c>
      <c r="L14" s="99">
        <f t="shared" ref="L14:L15" si="11">F14</f>
        <v>10680.91</v>
      </c>
      <c r="M14" s="99">
        <f t="shared" ref="M14:M15" si="12">G14</f>
        <v>10680.91</v>
      </c>
    </row>
    <row r="15" spans="1:17" ht="40.200000000000003" customHeight="1">
      <c r="A15" s="33" t="s">
        <v>33</v>
      </c>
      <c r="B15" s="33" t="s">
        <v>31</v>
      </c>
      <c r="C15" s="33" t="s">
        <v>34</v>
      </c>
      <c r="D15" s="103" t="s">
        <v>10</v>
      </c>
      <c r="E15" s="104">
        <v>1</v>
      </c>
      <c r="F15" s="104">
        <v>4378.09</v>
      </c>
      <c r="G15" s="104">
        <v>4378.09</v>
      </c>
      <c r="H15" s="93">
        <f t="shared" si="7"/>
        <v>0</v>
      </c>
      <c r="I15" s="93">
        <f t="shared" si="8"/>
        <v>4378.09</v>
      </c>
      <c r="J15" s="93">
        <f t="shared" si="9"/>
        <v>0</v>
      </c>
      <c r="K15" s="99">
        <f t="shared" si="10"/>
        <v>1</v>
      </c>
      <c r="L15" s="99">
        <f t="shared" si="11"/>
        <v>4378.09</v>
      </c>
      <c r="M15" s="99">
        <f t="shared" si="12"/>
        <v>4378.09</v>
      </c>
    </row>
    <row r="16" spans="1:17" ht="40.200000000000003" customHeight="1">
      <c r="A16" s="178" t="s">
        <v>851</v>
      </c>
      <c r="B16" s="179"/>
      <c r="C16" s="180"/>
      <c r="D16" s="30"/>
      <c r="E16" s="105"/>
      <c r="F16" s="105"/>
      <c r="G16" s="105">
        <f>SUM(G14:G15)</f>
        <v>15059</v>
      </c>
      <c r="H16" s="31"/>
      <c r="I16" s="31"/>
      <c r="J16" s="105">
        <f>SUM(J14:J15)</f>
        <v>0</v>
      </c>
      <c r="K16" s="31"/>
      <c r="L16" s="31"/>
      <c r="M16" s="105">
        <f>SUM(M14:M15)</f>
        <v>15059</v>
      </c>
    </row>
    <row r="17" spans="1:13" ht="40.200000000000003" customHeight="1">
      <c r="A17" s="30">
        <v>3</v>
      </c>
      <c r="B17" s="178" t="s">
        <v>35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80"/>
    </row>
    <row r="18" spans="1:13" ht="40.200000000000003" customHeight="1">
      <c r="A18" s="33" t="s">
        <v>36</v>
      </c>
      <c r="B18" s="33" t="s">
        <v>37</v>
      </c>
      <c r="C18" s="33" t="s">
        <v>38</v>
      </c>
      <c r="D18" s="103" t="s">
        <v>16</v>
      </c>
      <c r="E18" s="104">
        <v>75</v>
      </c>
      <c r="F18" s="104">
        <v>254.98</v>
      </c>
      <c r="G18" s="104">
        <v>19123.5</v>
      </c>
      <c r="H18" s="93">
        <f t="shared" ref="H18:H19" si="13">E18-K18</f>
        <v>0</v>
      </c>
      <c r="I18" s="93">
        <f t="shared" ref="I18:I19" si="14">F18</f>
        <v>254.98</v>
      </c>
      <c r="J18" s="93">
        <f t="shared" ref="J18:J31" si="15">H18*I18</f>
        <v>0</v>
      </c>
      <c r="K18" s="99">
        <f t="shared" ref="K18:K19" si="16">E18</f>
        <v>75</v>
      </c>
      <c r="L18" s="99">
        <f t="shared" ref="L18:L19" si="17">F18</f>
        <v>254.98</v>
      </c>
      <c r="M18" s="99">
        <f>K18*L18</f>
        <v>19123.5</v>
      </c>
    </row>
    <row r="19" spans="1:13" ht="40.200000000000003" customHeight="1">
      <c r="A19" s="33" t="s">
        <v>39</v>
      </c>
      <c r="B19" s="33" t="s">
        <v>40</v>
      </c>
      <c r="C19" s="33" t="s">
        <v>41</v>
      </c>
      <c r="D19" s="103" t="s">
        <v>16</v>
      </c>
      <c r="E19" s="104">
        <v>100</v>
      </c>
      <c r="F19" s="104">
        <v>657.6</v>
      </c>
      <c r="G19" s="104">
        <v>65760</v>
      </c>
      <c r="H19" s="93">
        <f t="shared" si="13"/>
        <v>0</v>
      </c>
      <c r="I19" s="93">
        <f t="shared" si="14"/>
        <v>657.6</v>
      </c>
      <c r="J19" s="93">
        <f t="shared" si="15"/>
        <v>0</v>
      </c>
      <c r="K19" s="99">
        <f t="shared" si="16"/>
        <v>100</v>
      </c>
      <c r="L19" s="99">
        <f t="shared" si="17"/>
        <v>657.6</v>
      </c>
      <c r="M19" s="99">
        <f t="shared" ref="M19:M31" si="18">K19*L19</f>
        <v>65760</v>
      </c>
    </row>
    <row r="20" spans="1:13" ht="40.200000000000003" customHeight="1">
      <c r="A20" s="33" t="s">
        <v>42</v>
      </c>
      <c r="B20" s="33" t="s">
        <v>43</v>
      </c>
      <c r="C20" s="33" t="s">
        <v>44</v>
      </c>
      <c r="D20" s="103" t="s">
        <v>16</v>
      </c>
      <c r="E20" s="104">
        <v>22</v>
      </c>
      <c r="F20" s="104">
        <v>469.02</v>
      </c>
      <c r="G20" s="104">
        <v>10318.44</v>
      </c>
      <c r="H20" s="93">
        <f t="shared" ref="H20:H31" si="19">E20-K20</f>
        <v>0</v>
      </c>
      <c r="I20" s="93">
        <f t="shared" ref="I20:I31" si="20">F20</f>
        <v>469.02</v>
      </c>
      <c r="J20" s="93">
        <f t="shared" si="15"/>
        <v>0</v>
      </c>
      <c r="K20" s="99">
        <f t="shared" ref="K20:K27" si="21">E20</f>
        <v>22</v>
      </c>
      <c r="L20" s="99">
        <f t="shared" ref="L20:L31" si="22">F20</f>
        <v>469.02</v>
      </c>
      <c r="M20" s="99">
        <f t="shared" si="18"/>
        <v>10318.439999999999</v>
      </c>
    </row>
    <row r="21" spans="1:13" ht="40.200000000000003" customHeight="1">
      <c r="A21" s="33" t="s">
        <v>45</v>
      </c>
      <c r="B21" s="33" t="s">
        <v>46</v>
      </c>
      <c r="C21" s="33" t="s">
        <v>47</v>
      </c>
      <c r="D21" s="103" t="s">
        <v>16</v>
      </c>
      <c r="E21" s="104">
        <v>60</v>
      </c>
      <c r="F21" s="104">
        <v>688.97</v>
      </c>
      <c r="G21" s="104">
        <v>41338.199999999997</v>
      </c>
      <c r="H21" s="93">
        <f t="shared" si="19"/>
        <v>0</v>
      </c>
      <c r="I21" s="93">
        <f t="shared" si="20"/>
        <v>688.97</v>
      </c>
      <c r="J21" s="93">
        <f t="shared" si="15"/>
        <v>0</v>
      </c>
      <c r="K21" s="99">
        <f t="shared" si="21"/>
        <v>60</v>
      </c>
      <c r="L21" s="99">
        <f t="shared" si="22"/>
        <v>688.97</v>
      </c>
      <c r="M21" s="99">
        <f t="shared" si="18"/>
        <v>41338.200000000004</v>
      </c>
    </row>
    <row r="22" spans="1:13" ht="40.200000000000003" customHeight="1">
      <c r="A22" s="33" t="s">
        <v>48</v>
      </c>
      <c r="B22" s="33" t="s">
        <v>49</v>
      </c>
      <c r="C22" s="33" t="s">
        <v>50</v>
      </c>
      <c r="D22" s="103" t="s">
        <v>51</v>
      </c>
      <c r="E22" s="104">
        <v>267</v>
      </c>
      <c r="F22" s="104">
        <v>49.82</v>
      </c>
      <c r="G22" s="104">
        <v>13301.94</v>
      </c>
      <c r="H22" s="93">
        <f t="shared" si="19"/>
        <v>70</v>
      </c>
      <c r="I22" s="93">
        <f t="shared" si="20"/>
        <v>49.82</v>
      </c>
      <c r="J22" s="93">
        <f t="shared" si="15"/>
        <v>3487.4</v>
      </c>
      <c r="K22" s="99">
        <v>197</v>
      </c>
      <c r="L22" s="99">
        <f t="shared" si="22"/>
        <v>49.82</v>
      </c>
      <c r="M22" s="99">
        <f t="shared" si="18"/>
        <v>9814.5400000000009</v>
      </c>
    </row>
    <row r="23" spans="1:13" ht="40.200000000000003" customHeight="1">
      <c r="A23" s="33" t="s">
        <v>52</v>
      </c>
      <c r="B23" s="33" t="s">
        <v>53</v>
      </c>
      <c r="C23" s="33" t="s">
        <v>54</v>
      </c>
      <c r="D23" s="103" t="s">
        <v>51</v>
      </c>
      <c r="E23" s="104">
        <v>60</v>
      </c>
      <c r="F23" s="104">
        <v>38.22</v>
      </c>
      <c r="G23" s="104">
        <v>2293.1999999999998</v>
      </c>
      <c r="H23" s="93">
        <f t="shared" si="19"/>
        <v>0</v>
      </c>
      <c r="I23" s="93">
        <f t="shared" si="20"/>
        <v>38.22</v>
      </c>
      <c r="J23" s="93">
        <f t="shared" si="15"/>
        <v>0</v>
      </c>
      <c r="K23" s="99">
        <f t="shared" si="21"/>
        <v>60</v>
      </c>
      <c r="L23" s="99">
        <f t="shared" si="22"/>
        <v>38.22</v>
      </c>
      <c r="M23" s="99">
        <f t="shared" si="18"/>
        <v>2293.1999999999998</v>
      </c>
    </row>
    <row r="24" spans="1:13" ht="40.200000000000003" customHeight="1">
      <c r="A24" s="33" t="s">
        <v>55</v>
      </c>
      <c r="B24" s="33" t="s">
        <v>56</v>
      </c>
      <c r="C24" s="33" t="s">
        <v>57</v>
      </c>
      <c r="D24" s="103" t="s">
        <v>15</v>
      </c>
      <c r="E24" s="104">
        <v>837</v>
      </c>
      <c r="F24" s="104">
        <v>4.0199999999999996</v>
      </c>
      <c r="G24" s="104">
        <v>3364.74</v>
      </c>
      <c r="H24" s="93">
        <f t="shared" si="19"/>
        <v>226</v>
      </c>
      <c r="I24" s="93">
        <f t="shared" si="20"/>
        <v>4.0199999999999996</v>
      </c>
      <c r="J24" s="93">
        <f t="shared" si="15"/>
        <v>908.51999999999987</v>
      </c>
      <c r="K24" s="99">
        <v>611</v>
      </c>
      <c r="L24" s="99">
        <f t="shared" si="22"/>
        <v>4.0199999999999996</v>
      </c>
      <c r="M24" s="99">
        <f t="shared" si="18"/>
        <v>2456.2199999999998</v>
      </c>
    </row>
    <row r="25" spans="1:13" ht="40.200000000000003" customHeight="1">
      <c r="A25" s="33" t="s">
        <v>58</v>
      </c>
      <c r="B25" s="33" t="s">
        <v>59</v>
      </c>
      <c r="C25" s="33" t="s">
        <v>60</v>
      </c>
      <c r="D25" s="103" t="s">
        <v>51</v>
      </c>
      <c r="E25" s="104">
        <v>30</v>
      </c>
      <c r="F25" s="104">
        <v>147.57</v>
      </c>
      <c r="G25" s="104">
        <v>4427.1000000000004</v>
      </c>
      <c r="H25" s="93">
        <f t="shared" si="19"/>
        <v>30</v>
      </c>
      <c r="I25" s="93">
        <f t="shared" si="20"/>
        <v>147.57</v>
      </c>
      <c r="J25" s="93">
        <f t="shared" si="15"/>
        <v>4427.0999999999995</v>
      </c>
      <c r="K25" s="99">
        <v>0</v>
      </c>
      <c r="L25" s="99">
        <f t="shared" si="22"/>
        <v>147.57</v>
      </c>
      <c r="M25" s="99">
        <f t="shared" si="18"/>
        <v>0</v>
      </c>
    </row>
    <row r="26" spans="1:13" ht="40.200000000000003" customHeight="1">
      <c r="A26" s="33" t="s">
        <v>61</v>
      </c>
      <c r="B26" s="33" t="s">
        <v>59</v>
      </c>
      <c r="C26" s="33" t="s">
        <v>62</v>
      </c>
      <c r="D26" s="103" t="s">
        <v>51</v>
      </c>
      <c r="E26" s="104">
        <v>30</v>
      </c>
      <c r="F26" s="104">
        <v>80.069999999999993</v>
      </c>
      <c r="G26" s="104">
        <v>2402.1</v>
      </c>
      <c r="H26" s="93">
        <f t="shared" si="19"/>
        <v>30</v>
      </c>
      <c r="I26" s="93">
        <f t="shared" si="20"/>
        <v>80.069999999999993</v>
      </c>
      <c r="J26" s="93">
        <f t="shared" si="15"/>
        <v>2402.1</v>
      </c>
      <c r="K26" s="99">
        <v>0</v>
      </c>
      <c r="L26" s="99">
        <f t="shared" si="22"/>
        <v>80.069999999999993</v>
      </c>
      <c r="M26" s="99">
        <f t="shared" si="18"/>
        <v>0</v>
      </c>
    </row>
    <row r="27" spans="1:13" ht="40.200000000000003" customHeight="1">
      <c r="A27" s="33" t="s">
        <v>63</v>
      </c>
      <c r="B27" s="33" t="s">
        <v>59</v>
      </c>
      <c r="C27" s="33" t="s">
        <v>64</v>
      </c>
      <c r="D27" s="103" t="s">
        <v>51</v>
      </c>
      <c r="E27" s="104">
        <v>168</v>
      </c>
      <c r="F27" s="104">
        <v>86.98</v>
      </c>
      <c r="G27" s="104">
        <v>14612.64</v>
      </c>
      <c r="H27" s="93">
        <f t="shared" si="19"/>
        <v>0</v>
      </c>
      <c r="I27" s="93">
        <f t="shared" si="20"/>
        <v>86.98</v>
      </c>
      <c r="J27" s="93">
        <f t="shared" si="15"/>
        <v>0</v>
      </c>
      <c r="K27" s="99">
        <f t="shared" si="21"/>
        <v>168</v>
      </c>
      <c r="L27" s="99">
        <f t="shared" si="22"/>
        <v>86.98</v>
      </c>
      <c r="M27" s="99">
        <f t="shared" si="18"/>
        <v>14612.640000000001</v>
      </c>
    </row>
    <row r="28" spans="1:13" ht="40.200000000000003" customHeight="1">
      <c r="A28" s="33" t="s">
        <v>65</v>
      </c>
      <c r="B28" s="33" t="s">
        <v>59</v>
      </c>
      <c r="C28" s="33" t="s">
        <v>66</v>
      </c>
      <c r="D28" s="103" t="s">
        <v>51</v>
      </c>
      <c r="E28" s="104">
        <v>16</v>
      </c>
      <c r="F28" s="104">
        <v>69.959999999999994</v>
      </c>
      <c r="G28" s="104">
        <v>1119.3599999999999</v>
      </c>
      <c r="H28" s="93">
        <f t="shared" si="19"/>
        <v>16</v>
      </c>
      <c r="I28" s="93">
        <f t="shared" si="20"/>
        <v>69.959999999999994</v>
      </c>
      <c r="J28" s="93">
        <f t="shared" si="15"/>
        <v>1119.3599999999999</v>
      </c>
      <c r="K28" s="99">
        <v>0</v>
      </c>
      <c r="L28" s="99">
        <f t="shared" si="22"/>
        <v>69.959999999999994</v>
      </c>
      <c r="M28" s="99">
        <f t="shared" si="18"/>
        <v>0</v>
      </c>
    </row>
    <row r="29" spans="1:13" ht="40.200000000000003" customHeight="1">
      <c r="A29" s="33" t="s">
        <v>67</v>
      </c>
      <c r="B29" s="33" t="s">
        <v>59</v>
      </c>
      <c r="C29" s="33" t="s">
        <v>68</v>
      </c>
      <c r="D29" s="103" t="s">
        <v>51</v>
      </c>
      <c r="E29" s="104">
        <v>4</v>
      </c>
      <c r="F29" s="104">
        <v>70.319999999999993</v>
      </c>
      <c r="G29" s="104">
        <v>281.27999999999997</v>
      </c>
      <c r="H29" s="93">
        <f t="shared" si="19"/>
        <v>4</v>
      </c>
      <c r="I29" s="93">
        <f t="shared" si="20"/>
        <v>70.319999999999993</v>
      </c>
      <c r="J29" s="93">
        <f t="shared" si="15"/>
        <v>281.27999999999997</v>
      </c>
      <c r="K29" s="99">
        <v>0</v>
      </c>
      <c r="L29" s="99">
        <f t="shared" si="22"/>
        <v>70.319999999999993</v>
      </c>
      <c r="M29" s="99">
        <f t="shared" si="18"/>
        <v>0</v>
      </c>
    </row>
    <row r="30" spans="1:13" ht="40.200000000000003" customHeight="1">
      <c r="A30" s="33" t="s">
        <v>69</v>
      </c>
      <c r="B30" s="33" t="s">
        <v>70</v>
      </c>
      <c r="C30" s="33" t="s">
        <v>71</v>
      </c>
      <c r="D30" s="103" t="s">
        <v>51</v>
      </c>
      <c r="E30" s="104">
        <v>1</v>
      </c>
      <c r="F30" s="104">
        <v>310.17</v>
      </c>
      <c r="G30" s="104">
        <v>310.17</v>
      </c>
      <c r="H30" s="93">
        <f t="shared" si="19"/>
        <v>1</v>
      </c>
      <c r="I30" s="93">
        <f t="shared" si="20"/>
        <v>310.17</v>
      </c>
      <c r="J30" s="93">
        <f t="shared" si="15"/>
        <v>310.17</v>
      </c>
      <c r="K30" s="99">
        <v>0</v>
      </c>
      <c r="L30" s="99">
        <f t="shared" si="22"/>
        <v>310.17</v>
      </c>
      <c r="M30" s="99">
        <f t="shared" si="18"/>
        <v>0</v>
      </c>
    </row>
    <row r="31" spans="1:13" ht="40.200000000000003" customHeight="1">
      <c r="A31" s="33" t="s">
        <v>72</v>
      </c>
      <c r="B31" s="33" t="s">
        <v>73</v>
      </c>
      <c r="C31" s="33" t="s">
        <v>74</v>
      </c>
      <c r="D31" s="103" t="s">
        <v>15</v>
      </c>
      <c r="E31" s="104">
        <v>1980</v>
      </c>
      <c r="F31" s="104">
        <v>5.46</v>
      </c>
      <c r="G31" s="104">
        <v>10810.8</v>
      </c>
      <c r="H31" s="93">
        <f t="shared" si="19"/>
        <v>1980</v>
      </c>
      <c r="I31" s="93">
        <f t="shared" si="20"/>
        <v>5.46</v>
      </c>
      <c r="J31" s="93">
        <f t="shared" si="15"/>
        <v>10810.8</v>
      </c>
      <c r="K31" s="99">
        <v>0</v>
      </c>
      <c r="L31" s="99">
        <f t="shared" si="22"/>
        <v>5.46</v>
      </c>
      <c r="M31" s="99">
        <f t="shared" si="18"/>
        <v>0</v>
      </c>
    </row>
    <row r="32" spans="1:13" ht="40.200000000000003" customHeight="1">
      <c r="A32" s="178" t="s">
        <v>852</v>
      </c>
      <c r="B32" s="179"/>
      <c r="C32" s="180"/>
      <c r="D32" s="30"/>
      <c r="E32" s="105"/>
      <c r="F32" s="105"/>
      <c r="G32" s="105">
        <f>SUM(G18:G31)</f>
        <v>189463.47000000003</v>
      </c>
      <c r="H32" s="31"/>
      <c r="I32" s="31"/>
      <c r="J32" s="105">
        <f>SUM(J18:J31)</f>
        <v>23746.730000000003</v>
      </c>
      <c r="K32" s="31"/>
      <c r="L32" s="31"/>
      <c r="M32" s="105">
        <f>SUM(M18:M31)</f>
        <v>165716.74000000005</v>
      </c>
    </row>
    <row r="33" spans="1:13" ht="40.200000000000003" customHeight="1">
      <c r="A33" s="30">
        <v>4</v>
      </c>
      <c r="B33" s="178" t="s">
        <v>75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80"/>
    </row>
    <row r="34" spans="1:13" ht="40.200000000000003" customHeight="1">
      <c r="A34" s="33" t="s">
        <v>76</v>
      </c>
      <c r="B34" s="33" t="s">
        <v>77</v>
      </c>
      <c r="C34" s="33" t="s">
        <v>78</v>
      </c>
      <c r="D34" s="103" t="s">
        <v>15</v>
      </c>
      <c r="E34" s="104">
        <v>168</v>
      </c>
      <c r="F34" s="104">
        <v>14.39</v>
      </c>
      <c r="G34" s="104">
        <v>2417.52</v>
      </c>
      <c r="H34" s="93">
        <f t="shared" ref="H34:H35" si="23">E34-K34</f>
        <v>0</v>
      </c>
      <c r="I34" s="93">
        <f t="shared" ref="I34:I35" si="24">F34</f>
        <v>14.39</v>
      </c>
      <c r="J34" s="93">
        <f t="shared" ref="J34:J35" si="25">H34*I34</f>
        <v>0</v>
      </c>
      <c r="K34" s="99">
        <f t="shared" ref="K34:K35" si="26">E34</f>
        <v>168</v>
      </c>
      <c r="L34" s="99">
        <f t="shared" ref="L34:L35" si="27">F34</f>
        <v>14.39</v>
      </c>
      <c r="M34" s="99">
        <f t="shared" ref="M34:M39" si="28">K34*L34</f>
        <v>2417.52</v>
      </c>
    </row>
    <row r="35" spans="1:13" ht="40.200000000000003" customHeight="1">
      <c r="A35" s="33" t="s">
        <v>79</v>
      </c>
      <c r="B35" s="33" t="s">
        <v>80</v>
      </c>
      <c r="C35" s="33" t="s">
        <v>81</v>
      </c>
      <c r="D35" s="103" t="s">
        <v>15</v>
      </c>
      <c r="E35" s="104">
        <v>180</v>
      </c>
      <c r="F35" s="104">
        <v>21.34</v>
      </c>
      <c r="G35" s="104">
        <v>3841.2</v>
      </c>
      <c r="H35" s="93">
        <f t="shared" si="23"/>
        <v>0</v>
      </c>
      <c r="I35" s="93">
        <f t="shared" si="24"/>
        <v>21.34</v>
      </c>
      <c r="J35" s="93">
        <f t="shared" si="25"/>
        <v>0</v>
      </c>
      <c r="K35" s="99">
        <f t="shared" si="26"/>
        <v>180</v>
      </c>
      <c r="L35" s="99">
        <f t="shared" si="27"/>
        <v>21.34</v>
      </c>
      <c r="M35" s="99">
        <f t="shared" si="28"/>
        <v>3841.2</v>
      </c>
    </row>
    <row r="36" spans="1:13" ht="40.200000000000003" customHeight="1">
      <c r="A36" s="33" t="s">
        <v>82</v>
      </c>
      <c r="B36" s="33" t="s">
        <v>83</v>
      </c>
      <c r="C36" s="33" t="s">
        <v>84</v>
      </c>
      <c r="D36" s="103" t="s">
        <v>10</v>
      </c>
      <c r="E36" s="104">
        <v>22</v>
      </c>
      <c r="F36" s="104">
        <v>141.97999999999999</v>
      </c>
      <c r="G36" s="104">
        <v>3123.56</v>
      </c>
      <c r="H36" s="93">
        <f t="shared" ref="H36:H39" si="29">E36-K36</f>
        <v>0</v>
      </c>
      <c r="I36" s="93">
        <f t="shared" ref="I36:I39" si="30">F36</f>
        <v>141.97999999999999</v>
      </c>
      <c r="J36" s="93">
        <f t="shared" ref="J36:J39" si="31">H36*I36</f>
        <v>0</v>
      </c>
      <c r="K36" s="99">
        <f t="shared" ref="K36:K39" si="32">E36</f>
        <v>22</v>
      </c>
      <c r="L36" s="99">
        <f t="shared" ref="L36:L39" si="33">F36</f>
        <v>141.97999999999999</v>
      </c>
      <c r="M36" s="99">
        <f t="shared" si="28"/>
        <v>3123.56</v>
      </c>
    </row>
    <row r="37" spans="1:13" ht="40.200000000000003" customHeight="1">
      <c r="A37" s="33" t="s">
        <v>85</v>
      </c>
      <c r="B37" s="33" t="s">
        <v>86</v>
      </c>
      <c r="C37" s="33" t="s">
        <v>87</v>
      </c>
      <c r="D37" s="103" t="s">
        <v>10</v>
      </c>
      <c r="E37" s="104">
        <v>49</v>
      </c>
      <c r="F37" s="104">
        <v>15.9</v>
      </c>
      <c r="G37" s="104">
        <v>779.1</v>
      </c>
      <c r="H37" s="93">
        <f t="shared" si="29"/>
        <v>0</v>
      </c>
      <c r="I37" s="93">
        <f t="shared" si="30"/>
        <v>15.9</v>
      </c>
      <c r="J37" s="93">
        <f t="shared" si="31"/>
        <v>0</v>
      </c>
      <c r="K37" s="99">
        <f t="shared" si="32"/>
        <v>49</v>
      </c>
      <c r="L37" s="99">
        <f t="shared" si="33"/>
        <v>15.9</v>
      </c>
      <c r="M37" s="99">
        <f t="shared" si="28"/>
        <v>779.1</v>
      </c>
    </row>
    <row r="38" spans="1:13" ht="40.200000000000003" customHeight="1">
      <c r="A38" s="33" t="s">
        <v>88</v>
      </c>
      <c r="B38" s="33" t="s">
        <v>89</v>
      </c>
      <c r="C38" s="33" t="s">
        <v>90</v>
      </c>
      <c r="D38" s="103" t="s">
        <v>10</v>
      </c>
      <c r="E38" s="104">
        <v>1</v>
      </c>
      <c r="F38" s="104">
        <v>33.94</v>
      </c>
      <c r="G38" s="104">
        <v>33.94</v>
      </c>
      <c r="H38" s="93">
        <f t="shared" si="29"/>
        <v>0</v>
      </c>
      <c r="I38" s="93">
        <f t="shared" si="30"/>
        <v>33.94</v>
      </c>
      <c r="J38" s="93">
        <f t="shared" si="31"/>
        <v>0</v>
      </c>
      <c r="K38" s="99">
        <f t="shared" si="32"/>
        <v>1</v>
      </c>
      <c r="L38" s="99">
        <f t="shared" si="33"/>
        <v>33.94</v>
      </c>
      <c r="M38" s="99">
        <f t="shared" si="28"/>
        <v>33.94</v>
      </c>
    </row>
    <row r="39" spans="1:13" ht="40.200000000000003" customHeight="1">
      <c r="A39" s="33" t="s">
        <v>91</v>
      </c>
      <c r="B39" s="33" t="s">
        <v>92</v>
      </c>
      <c r="C39" s="33" t="s">
        <v>93</v>
      </c>
      <c r="D39" s="103" t="s">
        <v>10</v>
      </c>
      <c r="E39" s="104">
        <v>71</v>
      </c>
      <c r="F39" s="104">
        <v>15.33</v>
      </c>
      <c r="G39" s="104">
        <v>1088.43</v>
      </c>
      <c r="H39" s="93">
        <f t="shared" si="29"/>
        <v>0</v>
      </c>
      <c r="I39" s="93">
        <f t="shared" si="30"/>
        <v>15.33</v>
      </c>
      <c r="J39" s="93">
        <f t="shared" si="31"/>
        <v>0</v>
      </c>
      <c r="K39" s="99">
        <f t="shared" si="32"/>
        <v>71</v>
      </c>
      <c r="L39" s="99">
        <f t="shared" si="33"/>
        <v>15.33</v>
      </c>
      <c r="M39" s="99">
        <f t="shared" si="28"/>
        <v>1088.43</v>
      </c>
    </row>
    <row r="40" spans="1:13" ht="40.200000000000003" customHeight="1">
      <c r="A40" s="178" t="s">
        <v>853</v>
      </c>
      <c r="B40" s="179"/>
      <c r="C40" s="180"/>
      <c r="D40" s="30"/>
      <c r="E40" s="105"/>
      <c r="F40" s="105"/>
      <c r="G40" s="105">
        <f>SUM(G34:G39)</f>
        <v>11283.75</v>
      </c>
      <c r="H40" s="31"/>
      <c r="I40" s="31"/>
      <c r="J40" s="105">
        <f>SUM(J34:J39)</f>
        <v>0</v>
      </c>
      <c r="K40" s="31"/>
      <c r="L40" s="31"/>
      <c r="M40" s="105">
        <f>SUM(M34:M39)</f>
        <v>11283.75</v>
      </c>
    </row>
    <row r="41" spans="1:13" ht="40.200000000000003" customHeight="1">
      <c r="A41" s="30">
        <v>5</v>
      </c>
      <c r="B41" s="178" t="s">
        <v>854</v>
      </c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80"/>
    </row>
    <row r="42" spans="1:13" ht="40.200000000000003" customHeight="1">
      <c r="A42" s="33" t="s">
        <v>94</v>
      </c>
      <c r="B42" s="33" t="s">
        <v>17</v>
      </c>
      <c r="C42" s="33" t="s">
        <v>95</v>
      </c>
      <c r="D42" s="103" t="s">
        <v>10</v>
      </c>
      <c r="E42" s="104">
        <v>5</v>
      </c>
      <c r="F42" s="104">
        <v>255.04</v>
      </c>
      <c r="G42" s="104">
        <v>1275.2</v>
      </c>
      <c r="H42" s="93">
        <f t="shared" ref="H42:H43" si="34">E42-K42</f>
        <v>5</v>
      </c>
      <c r="I42" s="93">
        <f t="shared" ref="I42:I43" si="35">F42</f>
        <v>255.04</v>
      </c>
      <c r="J42" s="93">
        <f t="shared" ref="J42:J43" si="36">H42*I42</f>
        <v>1275.2</v>
      </c>
      <c r="K42" s="99">
        <v>0</v>
      </c>
      <c r="L42" s="99">
        <f t="shared" ref="L42:L43" si="37">F42</f>
        <v>255.04</v>
      </c>
      <c r="M42" s="99">
        <f t="shared" ref="M42:M43" si="38">K42*L42</f>
        <v>0</v>
      </c>
    </row>
    <row r="43" spans="1:13" ht="40.200000000000003" customHeight="1">
      <c r="A43" s="33" t="s">
        <v>96</v>
      </c>
      <c r="B43" s="33" t="s">
        <v>73</v>
      </c>
      <c r="C43" s="33" t="s">
        <v>97</v>
      </c>
      <c r="D43" s="103" t="s">
        <v>15</v>
      </c>
      <c r="E43" s="104">
        <v>47</v>
      </c>
      <c r="F43" s="104">
        <v>2.96</v>
      </c>
      <c r="G43" s="104">
        <v>139.12</v>
      </c>
      <c r="H43" s="93">
        <f t="shared" si="34"/>
        <v>47</v>
      </c>
      <c r="I43" s="93">
        <f t="shared" si="35"/>
        <v>2.96</v>
      </c>
      <c r="J43" s="93">
        <f t="shared" si="36"/>
        <v>139.12</v>
      </c>
      <c r="K43" s="99">
        <v>0</v>
      </c>
      <c r="L43" s="99">
        <f t="shared" si="37"/>
        <v>2.96</v>
      </c>
      <c r="M43" s="99">
        <f t="shared" si="38"/>
        <v>0</v>
      </c>
    </row>
    <row r="44" spans="1:13" ht="40.200000000000003" customHeight="1">
      <c r="A44" s="178" t="s">
        <v>855</v>
      </c>
      <c r="B44" s="179"/>
      <c r="C44" s="180"/>
      <c r="D44" s="30"/>
      <c r="E44" s="105"/>
      <c r="F44" s="105"/>
      <c r="G44" s="105">
        <f>SUM(G42:G43)</f>
        <v>1414.3200000000002</v>
      </c>
      <c r="H44" s="31"/>
      <c r="I44" s="31"/>
      <c r="J44" s="31">
        <f>SUM(J42:J43)</f>
        <v>1414.3200000000002</v>
      </c>
      <c r="K44" s="31"/>
      <c r="L44" s="31"/>
      <c r="M44" s="31">
        <f>SUM(M42:M43)</f>
        <v>0</v>
      </c>
    </row>
    <row r="45" spans="1:13" ht="40.200000000000003" customHeight="1">
      <c r="A45" s="30">
        <v>6</v>
      </c>
      <c r="B45" s="178" t="s">
        <v>98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80"/>
    </row>
    <row r="46" spans="1:13" ht="40.200000000000003" customHeight="1">
      <c r="A46" s="33" t="s">
        <v>99</v>
      </c>
      <c r="B46" s="33" t="s">
        <v>100</v>
      </c>
      <c r="C46" s="33" t="s">
        <v>101</v>
      </c>
      <c r="D46" s="103" t="s">
        <v>51</v>
      </c>
      <c r="E46" s="104">
        <v>60</v>
      </c>
      <c r="F46" s="104">
        <v>250.77</v>
      </c>
      <c r="G46" s="104">
        <v>15046.2</v>
      </c>
      <c r="H46" s="93">
        <f t="shared" ref="H46:H47" si="39">E46-K46</f>
        <v>60</v>
      </c>
      <c r="I46" s="93">
        <f t="shared" ref="I46:I47" si="40">F46</f>
        <v>250.77</v>
      </c>
      <c r="J46" s="93">
        <f t="shared" ref="J46:J47" si="41">H46*I46</f>
        <v>15046.2</v>
      </c>
      <c r="K46" s="99">
        <v>0</v>
      </c>
      <c r="L46" s="99">
        <f t="shared" ref="L46:L47" si="42">F46</f>
        <v>250.77</v>
      </c>
      <c r="M46" s="99">
        <f t="shared" ref="M46:M50" si="43">K46*L46</f>
        <v>0</v>
      </c>
    </row>
    <row r="47" spans="1:13" ht="40.200000000000003" customHeight="1">
      <c r="A47" s="33" t="s">
        <v>102</v>
      </c>
      <c r="B47" s="33" t="s">
        <v>103</v>
      </c>
      <c r="C47" s="33" t="s">
        <v>104</v>
      </c>
      <c r="D47" s="103" t="s">
        <v>15</v>
      </c>
      <c r="E47" s="104">
        <v>3202</v>
      </c>
      <c r="F47" s="104">
        <v>10.32</v>
      </c>
      <c r="G47" s="104">
        <v>33044.639999999999</v>
      </c>
      <c r="H47" s="93">
        <f t="shared" si="39"/>
        <v>3202</v>
      </c>
      <c r="I47" s="93">
        <f t="shared" si="40"/>
        <v>10.32</v>
      </c>
      <c r="J47" s="93">
        <f t="shared" si="41"/>
        <v>33044.639999999999</v>
      </c>
      <c r="K47" s="99">
        <v>0</v>
      </c>
      <c r="L47" s="99">
        <f t="shared" si="42"/>
        <v>10.32</v>
      </c>
      <c r="M47" s="99">
        <f t="shared" si="43"/>
        <v>0</v>
      </c>
    </row>
    <row r="48" spans="1:13" ht="40.200000000000003" customHeight="1">
      <c r="A48" s="33" t="s">
        <v>105</v>
      </c>
      <c r="B48" s="33" t="s">
        <v>106</v>
      </c>
      <c r="C48" s="33" t="s">
        <v>107</v>
      </c>
      <c r="D48" s="103" t="s">
        <v>16</v>
      </c>
      <c r="E48" s="104">
        <v>1</v>
      </c>
      <c r="F48" s="104">
        <v>10390.75</v>
      </c>
      <c r="G48" s="104">
        <v>10390.75</v>
      </c>
      <c r="H48" s="93">
        <f t="shared" ref="H48:H50" si="44">E48-K48</f>
        <v>1</v>
      </c>
      <c r="I48" s="93">
        <f t="shared" ref="I48:I50" si="45">F48</f>
        <v>10390.75</v>
      </c>
      <c r="J48" s="93">
        <f t="shared" ref="J48:J50" si="46">H48*I48</f>
        <v>10390.75</v>
      </c>
      <c r="K48" s="99">
        <v>0</v>
      </c>
      <c r="L48" s="99">
        <f t="shared" ref="L48:L50" si="47">F48</f>
        <v>10390.75</v>
      </c>
      <c r="M48" s="99">
        <f t="shared" si="43"/>
        <v>0</v>
      </c>
    </row>
    <row r="49" spans="1:13" ht="40.200000000000003" customHeight="1">
      <c r="A49" s="33" t="s">
        <v>108</v>
      </c>
      <c r="B49" s="33" t="s">
        <v>109</v>
      </c>
      <c r="C49" s="33" t="s">
        <v>110</v>
      </c>
      <c r="D49" s="103" t="s">
        <v>10</v>
      </c>
      <c r="E49" s="104">
        <v>17</v>
      </c>
      <c r="F49" s="104">
        <v>115.81</v>
      </c>
      <c r="G49" s="104">
        <v>1968.77</v>
      </c>
      <c r="H49" s="93">
        <f t="shared" si="44"/>
        <v>17</v>
      </c>
      <c r="I49" s="93">
        <f t="shared" si="45"/>
        <v>115.81</v>
      </c>
      <c r="J49" s="93">
        <f t="shared" si="46"/>
        <v>1968.77</v>
      </c>
      <c r="K49" s="99">
        <v>0</v>
      </c>
      <c r="L49" s="99">
        <f t="shared" si="47"/>
        <v>115.81</v>
      </c>
      <c r="M49" s="99">
        <f t="shared" si="43"/>
        <v>0</v>
      </c>
    </row>
    <row r="50" spans="1:13" ht="40.200000000000003" customHeight="1">
      <c r="A50" s="33" t="s">
        <v>111</v>
      </c>
      <c r="B50" s="33" t="s">
        <v>103</v>
      </c>
      <c r="C50" s="33" t="s">
        <v>112</v>
      </c>
      <c r="D50" s="103" t="s">
        <v>15</v>
      </c>
      <c r="E50" s="104">
        <v>54</v>
      </c>
      <c r="F50" s="104">
        <v>5.92</v>
      </c>
      <c r="G50" s="104">
        <v>319.68</v>
      </c>
      <c r="H50" s="93">
        <f t="shared" si="44"/>
        <v>54</v>
      </c>
      <c r="I50" s="93">
        <f t="shared" si="45"/>
        <v>5.92</v>
      </c>
      <c r="J50" s="93">
        <f t="shared" si="46"/>
        <v>319.68</v>
      </c>
      <c r="K50" s="99">
        <v>0</v>
      </c>
      <c r="L50" s="99">
        <f t="shared" si="47"/>
        <v>5.92</v>
      </c>
      <c r="M50" s="99">
        <f t="shared" si="43"/>
        <v>0</v>
      </c>
    </row>
    <row r="51" spans="1:13" ht="13.2" customHeight="1">
      <c r="A51" s="178" t="s">
        <v>856</v>
      </c>
      <c r="B51" s="179"/>
      <c r="C51" s="180"/>
      <c r="D51" s="30"/>
      <c r="E51" s="105"/>
      <c r="F51" s="105"/>
      <c r="G51" s="105">
        <f>SUM(G46:G50)</f>
        <v>60770.039999999994</v>
      </c>
      <c r="H51" s="31"/>
      <c r="I51" s="31"/>
      <c r="J51" s="31">
        <f>SUM(J46:J50)</f>
        <v>60770.039999999994</v>
      </c>
      <c r="K51" s="31"/>
      <c r="L51" s="31"/>
      <c r="M51" s="31">
        <f>SUM(M46:M50)</f>
        <v>0</v>
      </c>
    </row>
    <row r="52" spans="1:13">
      <c r="A52" s="30">
        <v>7</v>
      </c>
      <c r="B52" s="178" t="s">
        <v>857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80"/>
    </row>
    <row r="53" spans="1:13" ht="39.6">
      <c r="A53" s="33">
        <v>35</v>
      </c>
      <c r="B53" s="33" t="s">
        <v>859</v>
      </c>
      <c r="C53" s="33" t="s">
        <v>860</v>
      </c>
      <c r="D53" s="103" t="s">
        <v>16</v>
      </c>
      <c r="E53" s="104">
        <v>1</v>
      </c>
      <c r="F53" s="104">
        <v>50068</v>
      </c>
      <c r="G53" s="104">
        <f>E53*F53</f>
        <v>50068</v>
      </c>
      <c r="H53" s="93">
        <f>E53-K53</f>
        <v>0.5</v>
      </c>
      <c r="I53" s="93">
        <f>F53</f>
        <v>50068</v>
      </c>
      <c r="J53" s="93">
        <f>H53*I53</f>
        <v>25034</v>
      </c>
      <c r="K53" s="99">
        <f>0.5*E53</f>
        <v>0.5</v>
      </c>
      <c r="L53" s="99">
        <f>F53</f>
        <v>50068</v>
      </c>
      <c r="M53" s="99">
        <f t="shared" ref="M53" si="48">K53*L53</f>
        <v>25034</v>
      </c>
    </row>
    <row r="54" spans="1:13">
      <c r="A54" s="178" t="s">
        <v>858</v>
      </c>
      <c r="B54" s="179"/>
      <c r="C54" s="180"/>
      <c r="D54" s="30"/>
      <c r="E54" s="105"/>
      <c r="F54" s="105"/>
      <c r="G54" s="105">
        <f>G53</f>
        <v>50068</v>
      </c>
      <c r="H54" s="31"/>
      <c r="I54" s="31"/>
      <c r="J54" s="105">
        <f>J53</f>
        <v>25034</v>
      </c>
      <c r="K54" s="31"/>
      <c r="L54" s="31"/>
      <c r="M54" s="105">
        <f>M53</f>
        <v>25034</v>
      </c>
    </row>
    <row r="55" spans="1:13">
      <c r="D55" s="162" t="s">
        <v>277</v>
      </c>
      <c r="E55" s="162"/>
      <c r="F55" s="162"/>
      <c r="G55" s="34">
        <f>G54+G51+G44+G40+G32+G16+G12</f>
        <v>337349.26</v>
      </c>
      <c r="H55" s="163" t="s">
        <v>277</v>
      </c>
      <c r="I55" s="163"/>
      <c r="J55" s="106">
        <f>J54+J51+J44+J40+J32+J16+J12</f>
        <v>110965.09</v>
      </c>
      <c r="K55" s="164" t="s">
        <v>277</v>
      </c>
      <c r="L55" s="164"/>
      <c r="M55" s="107">
        <f>M54+M51+M44+M40+M32+M16+M12</f>
        <v>226384.17000000004</v>
      </c>
    </row>
    <row r="56" spans="1:13">
      <c r="D56" s="162" t="s">
        <v>278</v>
      </c>
      <c r="E56" s="162"/>
      <c r="F56" s="162"/>
      <c r="G56" s="34">
        <f>G55*1.23</f>
        <v>414939.58980000002</v>
      </c>
      <c r="H56" s="163" t="s">
        <v>278</v>
      </c>
      <c r="I56" s="163"/>
      <c r="J56" s="35">
        <f>J55*1.23</f>
        <v>136487.0607</v>
      </c>
      <c r="K56" s="164" t="s">
        <v>278</v>
      </c>
      <c r="L56" s="164"/>
      <c r="M56" s="36">
        <f>M55*1.23</f>
        <v>278452.52910000004</v>
      </c>
    </row>
  </sheetData>
  <mergeCells count="24">
    <mergeCell ref="A1:M1"/>
    <mergeCell ref="D56:F56"/>
    <mergeCell ref="H56:I56"/>
    <mergeCell ref="K56:L56"/>
    <mergeCell ref="A44:C44"/>
    <mergeCell ref="B45:M45"/>
    <mergeCell ref="A51:C51"/>
    <mergeCell ref="B52:M52"/>
    <mergeCell ref="A54:C54"/>
    <mergeCell ref="D55:F55"/>
    <mergeCell ref="H55:I55"/>
    <mergeCell ref="K55:L55"/>
    <mergeCell ref="B41:M41"/>
    <mergeCell ref="D2:G2"/>
    <mergeCell ref="H2:J2"/>
    <mergeCell ref="K2:M2"/>
    <mergeCell ref="A32:C32"/>
    <mergeCell ref="B33:M33"/>
    <mergeCell ref="A40:C40"/>
    <mergeCell ref="B6:M6"/>
    <mergeCell ref="A12:C12"/>
    <mergeCell ref="B13:M13"/>
    <mergeCell ref="A16:C16"/>
    <mergeCell ref="B17:M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A4" sqref="A4:E4"/>
    </sheetView>
  </sheetViews>
  <sheetFormatPr defaultRowHeight="13.2"/>
  <cols>
    <col min="1" max="1" width="17.88671875" customWidth="1"/>
    <col min="2" max="2" width="12.44140625" customWidth="1"/>
    <col min="3" max="3" width="17.33203125" bestFit="1" customWidth="1"/>
    <col min="4" max="4" width="20.5546875" bestFit="1" customWidth="1"/>
    <col min="5" max="5" width="17.33203125" bestFit="1" customWidth="1"/>
  </cols>
  <sheetData>
    <row r="2" spans="1:5">
      <c r="C2" s="23"/>
      <c r="D2" s="23"/>
      <c r="E2" s="23"/>
    </row>
    <row r="3" spans="1:5" ht="13.8" thickBot="1"/>
    <row r="4" spans="1:5" ht="55.5" customHeight="1" thickBot="1">
      <c r="A4" s="212" t="s">
        <v>869</v>
      </c>
      <c r="B4" s="213"/>
      <c r="C4" s="213"/>
      <c r="D4" s="213"/>
      <c r="E4" s="214"/>
    </row>
    <row r="5" spans="1:5" ht="14.4" thickBot="1">
      <c r="A5" s="215" t="s">
        <v>678</v>
      </c>
      <c r="B5" s="216"/>
      <c r="C5" s="19" t="s">
        <v>679</v>
      </c>
      <c r="D5" s="37" t="s">
        <v>680</v>
      </c>
      <c r="E5" s="126" t="s">
        <v>681</v>
      </c>
    </row>
    <row r="6" spans="1:5" ht="14.4" thickBot="1">
      <c r="A6" s="113" t="s">
        <v>682</v>
      </c>
      <c r="B6" s="114" t="s">
        <v>683</v>
      </c>
      <c r="C6" s="115">
        <f>ZAŁ1_BUd_korekta2017!G143</f>
        <v>1186654.5522045</v>
      </c>
      <c r="D6" s="116">
        <f>ZAŁ1_BUd_korekta2017!J143</f>
        <v>210953.27733143329</v>
      </c>
      <c r="E6" s="117">
        <f>ZAŁ1_BUd_korekta2017!M143</f>
        <v>975701.27487306658</v>
      </c>
    </row>
    <row r="7" spans="1:5" ht="14.4" thickBot="1">
      <c r="A7" s="118"/>
      <c r="B7" s="119" t="s">
        <v>684</v>
      </c>
      <c r="C7" s="120">
        <f>ZAŁ1_BUd_korekta2017!G144</f>
        <v>1459585.099211535</v>
      </c>
      <c r="D7" s="121">
        <f>ZAŁ1_BUd_korekta2017!J144</f>
        <v>259472.53111766293</v>
      </c>
      <c r="E7" s="122">
        <f>ZAŁ1_BUd_korekta2017!M144</f>
        <v>1200112.5680938719</v>
      </c>
    </row>
    <row r="8" spans="1:5" ht="13.8">
      <c r="A8" s="113" t="s">
        <v>685</v>
      </c>
      <c r="B8" s="114" t="s">
        <v>683</v>
      </c>
      <c r="C8" s="115">
        <f>'ZAŁ1_SAN_korekta 2017'!G173</f>
        <v>459204.75000000006</v>
      </c>
      <c r="D8" s="116">
        <f>'ZAŁ1_SAN_korekta 2017'!J173</f>
        <v>304337.125</v>
      </c>
      <c r="E8" s="117">
        <f>'ZAŁ1_SAN_korekta 2017'!M173</f>
        <v>154867.61000000002</v>
      </c>
    </row>
    <row r="9" spans="1:5" ht="14.4" thickBot="1">
      <c r="A9" s="118"/>
      <c r="B9" s="119" t="s">
        <v>684</v>
      </c>
      <c r="C9" s="120">
        <f>'ZAŁ1_SAN_korekta 2017'!G174</f>
        <v>564821.84250000003</v>
      </c>
      <c r="D9" s="124">
        <f>'ZAŁ1_SAN_korekta 2017'!J174</f>
        <v>374334.66375000001</v>
      </c>
      <c r="E9" s="125">
        <f>'ZAŁ1_SAN_korekta 2017'!M174</f>
        <v>190487.16030000002</v>
      </c>
    </row>
    <row r="10" spans="1:5" ht="13.8">
      <c r="A10" s="127" t="s">
        <v>686</v>
      </c>
      <c r="B10" s="111" t="s">
        <v>683</v>
      </c>
      <c r="C10" s="112">
        <f>'ZAŁ 1_ELEKTR_korekta2017'!G55</f>
        <v>337349.26</v>
      </c>
      <c r="D10" s="123">
        <f>'ZAŁ 1_ELEKTR_korekta2017'!J55</f>
        <v>110965.09</v>
      </c>
      <c r="E10" s="128">
        <f>'ZAŁ 1_ELEKTR_korekta2017'!M55</f>
        <v>226384.17000000004</v>
      </c>
    </row>
    <row r="11" spans="1:5" ht="14.4" thickBot="1">
      <c r="A11" s="129"/>
      <c r="B11" s="20" t="s">
        <v>684</v>
      </c>
      <c r="C11" s="21">
        <f>'ZAŁ 1_ELEKTR_korekta2017'!G56</f>
        <v>414939.58980000002</v>
      </c>
      <c r="D11" s="38">
        <f>'ZAŁ 1_ELEKTR_korekta2017'!J56</f>
        <v>136487.0607</v>
      </c>
      <c r="E11" s="130">
        <f>'ZAŁ 1_ELEKTR_korekta2017'!M56</f>
        <v>278452.52910000004</v>
      </c>
    </row>
    <row r="12" spans="1:5" ht="13.8">
      <c r="A12" s="217" t="s">
        <v>687</v>
      </c>
      <c r="B12" s="218"/>
      <c r="C12" s="22">
        <f t="shared" ref="C12:E12" si="0">C6+C8+C10</f>
        <v>1983208.5622045</v>
      </c>
      <c r="D12" s="39">
        <f t="shared" si="0"/>
        <v>626255.49233143323</v>
      </c>
      <c r="E12" s="131">
        <f t="shared" si="0"/>
        <v>1356953.0548730665</v>
      </c>
    </row>
    <row r="13" spans="1:5" ht="14.4" thickBot="1">
      <c r="A13" s="219" t="s">
        <v>688</v>
      </c>
      <c r="B13" s="220"/>
      <c r="C13" s="109">
        <f t="shared" ref="C13:E13" si="1">C7+C9+C11</f>
        <v>2439346.5315115349</v>
      </c>
      <c r="D13" s="110">
        <f t="shared" si="1"/>
        <v>770294.255567663</v>
      </c>
      <c r="E13" s="132">
        <f t="shared" si="1"/>
        <v>1669052.2574938722</v>
      </c>
    </row>
    <row r="14" spans="1:5">
      <c r="A14" s="133"/>
      <c r="B14" s="204" t="s">
        <v>861</v>
      </c>
      <c r="C14" s="210">
        <v>1</v>
      </c>
      <c r="D14" s="206">
        <f>D12/C12</f>
        <v>0.31577893735760126</v>
      </c>
      <c r="E14" s="208">
        <f>E12/C12</f>
        <v>0.68422105507889763</v>
      </c>
    </row>
    <row r="15" spans="1:5" ht="13.8" thickBot="1">
      <c r="A15" s="134"/>
      <c r="B15" s="205"/>
      <c r="C15" s="211"/>
      <c r="D15" s="207"/>
      <c r="E15" s="209"/>
    </row>
  </sheetData>
  <mergeCells count="8">
    <mergeCell ref="B14:B15"/>
    <mergeCell ref="D14:D15"/>
    <mergeCell ref="E14:E15"/>
    <mergeCell ref="C14:C15"/>
    <mergeCell ref="A4:E4"/>
    <mergeCell ref="A5:B5"/>
    <mergeCell ref="A12:B12"/>
    <mergeCell ref="A13:B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H16" sqref="H16"/>
    </sheetView>
  </sheetViews>
  <sheetFormatPr defaultRowHeight="13.2"/>
  <cols>
    <col min="1" max="1" width="20.5546875" customWidth="1"/>
    <col min="2" max="2" width="18.21875" customWidth="1"/>
    <col min="3" max="3" width="72.33203125" bestFit="1" customWidth="1"/>
    <col min="4" max="4" width="9.109375" style="17"/>
    <col min="5" max="5" width="10.88671875" style="24" bestFit="1" customWidth="1"/>
  </cols>
  <sheetData>
    <row r="1" spans="1:7" ht="30.6" customHeight="1" thickBot="1">
      <c r="A1" s="221" t="s">
        <v>873</v>
      </c>
      <c r="B1" s="222"/>
      <c r="C1" s="222"/>
      <c r="D1" s="222"/>
      <c r="E1" s="222"/>
    </row>
    <row r="2" spans="1:7" s="17" customFormat="1" ht="15" customHeight="1">
      <c r="A2" s="1"/>
      <c r="B2" s="1"/>
      <c r="C2" s="1"/>
      <c r="D2" s="184"/>
      <c r="E2" s="185"/>
      <c r="G2" s="18"/>
    </row>
    <row r="3" spans="1:7" s="17" customFormat="1" ht="26.4">
      <c r="A3" s="94" t="s">
        <v>0</v>
      </c>
      <c r="B3" s="94" t="s">
        <v>1</v>
      </c>
      <c r="C3" s="42" t="s">
        <v>2</v>
      </c>
      <c r="D3" s="96" t="s">
        <v>3</v>
      </c>
      <c r="E3" s="43" t="s">
        <v>4</v>
      </c>
      <c r="G3" s="18"/>
    </row>
    <row r="4" spans="1:7" s="17" customFormat="1">
      <c r="A4" s="95"/>
      <c r="B4" s="95"/>
      <c r="C4" s="46"/>
      <c r="D4" s="97"/>
      <c r="E4" s="47"/>
      <c r="G4" s="18"/>
    </row>
    <row r="5" spans="1:7" s="17" customFormat="1">
      <c r="A5" s="95"/>
      <c r="B5" s="95"/>
      <c r="C5" s="46"/>
      <c r="D5" s="97"/>
      <c r="E5" s="47"/>
      <c r="G5" s="18"/>
    </row>
    <row r="6" spans="1:7">
      <c r="A6" s="108">
        <v>1</v>
      </c>
      <c r="B6" s="178" t="s">
        <v>849</v>
      </c>
      <c r="C6" s="179"/>
      <c r="D6" s="179"/>
      <c r="E6" s="179"/>
    </row>
    <row r="7" spans="1:7">
      <c r="A7" s="33" t="s">
        <v>9</v>
      </c>
      <c r="B7" s="33" t="s">
        <v>19</v>
      </c>
      <c r="C7" s="33" t="s">
        <v>20</v>
      </c>
      <c r="D7" s="103" t="s">
        <v>15</v>
      </c>
      <c r="E7" s="104">
        <v>71</v>
      </c>
    </row>
    <row r="8" spans="1:7">
      <c r="A8" s="33" t="s">
        <v>11</v>
      </c>
      <c r="B8" s="33" t="s">
        <v>21</v>
      </c>
      <c r="C8" s="33" t="s">
        <v>22</v>
      </c>
      <c r="D8" s="103" t="s">
        <v>10</v>
      </c>
      <c r="E8" s="104">
        <v>82</v>
      </c>
    </row>
    <row r="9" spans="1:7" ht="26.4">
      <c r="A9" s="33" t="s">
        <v>12</v>
      </c>
      <c r="B9" s="33" t="s">
        <v>23</v>
      </c>
      <c r="C9" s="33" t="s">
        <v>24</v>
      </c>
      <c r="D9" s="103" t="s">
        <v>15</v>
      </c>
      <c r="E9" s="104">
        <v>18</v>
      </c>
    </row>
    <row r="10" spans="1:7" ht="26.4">
      <c r="A10" s="33" t="s">
        <v>13</v>
      </c>
      <c r="B10" s="33" t="s">
        <v>25</v>
      </c>
      <c r="C10" s="33" t="s">
        <v>26</v>
      </c>
      <c r="D10" s="103" t="s">
        <v>15</v>
      </c>
      <c r="E10" s="104">
        <v>15</v>
      </c>
    </row>
    <row r="11" spans="1:7" ht="39.6">
      <c r="A11" s="33" t="s">
        <v>14</v>
      </c>
      <c r="B11" s="33" t="s">
        <v>27</v>
      </c>
      <c r="C11" s="33" t="s">
        <v>28</v>
      </c>
      <c r="D11" s="103" t="s">
        <v>15</v>
      </c>
      <c r="E11" s="104">
        <v>234</v>
      </c>
    </row>
    <row r="12" spans="1:7">
      <c r="A12" s="178" t="s">
        <v>850</v>
      </c>
      <c r="B12" s="179"/>
      <c r="C12" s="180"/>
      <c r="D12" s="108"/>
      <c r="E12" s="105"/>
    </row>
    <row r="13" spans="1:7">
      <c r="A13" s="108">
        <v>2</v>
      </c>
      <c r="B13" s="178" t="s">
        <v>29</v>
      </c>
      <c r="C13" s="179"/>
      <c r="D13" s="179"/>
      <c r="E13" s="179"/>
    </row>
    <row r="14" spans="1:7">
      <c r="A14" s="33" t="s">
        <v>30</v>
      </c>
      <c r="B14" s="33" t="s">
        <v>31</v>
      </c>
      <c r="C14" s="33" t="s">
        <v>32</v>
      </c>
      <c r="D14" s="103" t="s">
        <v>10</v>
      </c>
      <c r="E14" s="104">
        <v>1</v>
      </c>
    </row>
    <row r="15" spans="1:7">
      <c r="A15" s="33" t="s">
        <v>33</v>
      </c>
      <c r="B15" s="33" t="s">
        <v>31</v>
      </c>
      <c r="C15" s="33" t="s">
        <v>34</v>
      </c>
      <c r="D15" s="103" t="s">
        <v>10</v>
      </c>
      <c r="E15" s="104">
        <v>1</v>
      </c>
    </row>
    <row r="16" spans="1:7">
      <c r="A16" s="178" t="s">
        <v>851</v>
      </c>
      <c r="B16" s="179"/>
      <c r="C16" s="180"/>
      <c r="D16" s="108"/>
      <c r="E16" s="105"/>
    </row>
    <row r="17" spans="1:5">
      <c r="A17" s="108">
        <v>3</v>
      </c>
      <c r="B17" s="178" t="s">
        <v>35</v>
      </c>
      <c r="C17" s="179"/>
      <c r="D17" s="179"/>
      <c r="E17" s="179"/>
    </row>
    <row r="18" spans="1:5" ht="39.6">
      <c r="A18" s="33" t="s">
        <v>48</v>
      </c>
      <c r="B18" s="33" t="s">
        <v>49</v>
      </c>
      <c r="C18" s="33" t="s">
        <v>50</v>
      </c>
      <c r="D18" s="103" t="s">
        <v>51</v>
      </c>
      <c r="E18" s="104">
        <v>267</v>
      </c>
    </row>
    <row r="19" spans="1:5" ht="39.6">
      <c r="A19" s="33" t="s">
        <v>52</v>
      </c>
      <c r="B19" s="33" t="s">
        <v>53</v>
      </c>
      <c r="C19" s="33" t="s">
        <v>54</v>
      </c>
      <c r="D19" s="103" t="s">
        <v>51</v>
      </c>
      <c r="E19" s="104">
        <v>60</v>
      </c>
    </row>
    <row r="20" spans="1:5" ht="39.6">
      <c r="A20" s="33" t="s">
        <v>55</v>
      </c>
      <c r="B20" s="33" t="s">
        <v>56</v>
      </c>
      <c r="C20" s="33" t="s">
        <v>57</v>
      </c>
      <c r="D20" s="103" t="s">
        <v>15</v>
      </c>
      <c r="E20" s="104">
        <v>837</v>
      </c>
    </row>
    <row r="21" spans="1:5" ht="39.6">
      <c r="A21" s="33" t="s">
        <v>58</v>
      </c>
      <c r="B21" s="33" t="s">
        <v>59</v>
      </c>
      <c r="C21" s="33" t="s">
        <v>60</v>
      </c>
      <c r="D21" s="103" t="s">
        <v>51</v>
      </c>
      <c r="E21" s="104">
        <v>30</v>
      </c>
    </row>
    <row r="22" spans="1:5" ht="39.6">
      <c r="A22" s="33" t="s">
        <v>61</v>
      </c>
      <c r="B22" s="33" t="s">
        <v>59</v>
      </c>
      <c r="C22" s="33" t="s">
        <v>62</v>
      </c>
      <c r="D22" s="103" t="s">
        <v>51</v>
      </c>
      <c r="E22" s="104">
        <v>30</v>
      </c>
    </row>
    <row r="23" spans="1:5" ht="39.6">
      <c r="A23" s="33" t="s">
        <v>63</v>
      </c>
      <c r="B23" s="33" t="s">
        <v>59</v>
      </c>
      <c r="C23" s="33" t="s">
        <v>64</v>
      </c>
      <c r="D23" s="103" t="s">
        <v>51</v>
      </c>
      <c r="E23" s="104">
        <v>168</v>
      </c>
    </row>
    <row r="24" spans="1:5" ht="26.4">
      <c r="A24" s="33" t="s">
        <v>65</v>
      </c>
      <c r="B24" s="33" t="s">
        <v>59</v>
      </c>
      <c r="C24" s="33" t="s">
        <v>66</v>
      </c>
      <c r="D24" s="103" t="s">
        <v>51</v>
      </c>
      <c r="E24" s="104">
        <v>16</v>
      </c>
    </row>
    <row r="25" spans="1:5" ht="39.6">
      <c r="A25" s="33" t="s">
        <v>67</v>
      </c>
      <c r="B25" s="33" t="s">
        <v>59</v>
      </c>
      <c r="C25" s="33" t="s">
        <v>68</v>
      </c>
      <c r="D25" s="103" t="s">
        <v>51</v>
      </c>
      <c r="E25" s="104">
        <v>4</v>
      </c>
    </row>
    <row r="26" spans="1:5" ht="26.4">
      <c r="A26" s="33" t="s">
        <v>69</v>
      </c>
      <c r="B26" s="33" t="s">
        <v>70</v>
      </c>
      <c r="C26" s="33" t="s">
        <v>71</v>
      </c>
      <c r="D26" s="103" t="s">
        <v>51</v>
      </c>
      <c r="E26" s="104">
        <v>1</v>
      </c>
    </row>
    <row r="27" spans="1:5" ht="39.6">
      <c r="A27" s="33" t="s">
        <v>72</v>
      </c>
      <c r="B27" s="33" t="s">
        <v>73</v>
      </c>
      <c r="C27" s="33" t="s">
        <v>74</v>
      </c>
      <c r="D27" s="103" t="s">
        <v>15</v>
      </c>
      <c r="E27" s="104">
        <v>1980</v>
      </c>
    </row>
    <row r="28" spans="1:5">
      <c r="A28" s="178" t="s">
        <v>852</v>
      </c>
      <c r="B28" s="179"/>
      <c r="C28" s="180"/>
      <c r="D28" s="108"/>
      <c r="E28" s="105"/>
    </row>
    <row r="29" spans="1:5">
      <c r="A29" s="108">
        <v>4</v>
      </c>
      <c r="B29" s="178" t="s">
        <v>75</v>
      </c>
      <c r="C29" s="179"/>
      <c r="D29" s="179"/>
      <c r="E29" s="179"/>
    </row>
    <row r="30" spans="1:5" ht="26.4">
      <c r="A30" s="33" t="s">
        <v>76</v>
      </c>
      <c r="B30" s="33" t="s">
        <v>77</v>
      </c>
      <c r="C30" s="33" t="s">
        <v>78</v>
      </c>
      <c r="D30" s="103" t="s">
        <v>15</v>
      </c>
      <c r="E30" s="104">
        <v>168</v>
      </c>
    </row>
    <row r="31" spans="1:5" ht="39.6">
      <c r="A31" s="33" t="s">
        <v>79</v>
      </c>
      <c r="B31" s="33" t="s">
        <v>80</v>
      </c>
      <c r="C31" s="33" t="s">
        <v>81</v>
      </c>
      <c r="D31" s="103" t="s">
        <v>15</v>
      </c>
      <c r="E31" s="104">
        <v>180</v>
      </c>
    </row>
    <row r="32" spans="1:5">
      <c r="A32" s="33" t="s">
        <v>82</v>
      </c>
      <c r="B32" s="33" t="s">
        <v>83</v>
      </c>
      <c r="C32" s="33" t="s">
        <v>84</v>
      </c>
      <c r="D32" s="103" t="s">
        <v>10</v>
      </c>
      <c r="E32" s="104">
        <v>22</v>
      </c>
    </row>
    <row r="33" spans="1:5" ht="26.4">
      <c r="A33" s="33" t="s">
        <v>85</v>
      </c>
      <c r="B33" s="33" t="s">
        <v>86</v>
      </c>
      <c r="C33" s="33" t="s">
        <v>87</v>
      </c>
      <c r="D33" s="103" t="s">
        <v>10</v>
      </c>
      <c r="E33" s="104">
        <v>49</v>
      </c>
    </row>
    <row r="34" spans="1:5">
      <c r="A34" s="33" t="s">
        <v>88</v>
      </c>
      <c r="B34" s="33" t="s">
        <v>89</v>
      </c>
      <c r="C34" s="33" t="s">
        <v>90</v>
      </c>
      <c r="D34" s="103" t="s">
        <v>10</v>
      </c>
      <c r="E34" s="104">
        <v>1</v>
      </c>
    </row>
    <row r="35" spans="1:5">
      <c r="A35" s="33" t="s">
        <v>91</v>
      </c>
      <c r="B35" s="33" t="s">
        <v>92</v>
      </c>
      <c r="C35" s="33" t="s">
        <v>93</v>
      </c>
      <c r="D35" s="103" t="s">
        <v>10</v>
      </c>
      <c r="E35" s="104">
        <v>71</v>
      </c>
    </row>
    <row r="36" spans="1:5">
      <c r="A36" s="178" t="s">
        <v>853</v>
      </c>
      <c r="B36" s="179"/>
      <c r="C36" s="180"/>
      <c r="D36" s="108"/>
      <c r="E36" s="105"/>
    </row>
    <row r="37" spans="1:5">
      <c r="A37" s="108">
        <v>5</v>
      </c>
      <c r="B37" s="178" t="s">
        <v>854</v>
      </c>
      <c r="C37" s="179"/>
      <c r="D37" s="179"/>
      <c r="E37" s="179"/>
    </row>
    <row r="38" spans="1:5">
      <c r="A38" s="33" t="s">
        <v>94</v>
      </c>
      <c r="B38" s="33" t="s">
        <v>17</v>
      </c>
      <c r="C38" s="33" t="s">
        <v>95</v>
      </c>
      <c r="D38" s="103" t="s">
        <v>10</v>
      </c>
      <c r="E38" s="104">
        <v>5</v>
      </c>
    </row>
    <row r="39" spans="1:5" ht="26.4">
      <c r="A39" s="33" t="s">
        <v>96</v>
      </c>
      <c r="B39" s="33" t="s">
        <v>73</v>
      </c>
      <c r="C39" s="33" t="s">
        <v>97</v>
      </c>
      <c r="D39" s="103" t="s">
        <v>15</v>
      </c>
      <c r="E39" s="104">
        <v>47</v>
      </c>
    </row>
    <row r="40" spans="1:5">
      <c r="A40" s="178" t="s">
        <v>855</v>
      </c>
      <c r="B40" s="179"/>
      <c r="C40" s="180"/>
      <c r="D40" s="108"/>
      <c r="E40" s="105"/>
    </row>
    <row r="41" spans="1:5">
      <c r="A41" s="108">
        <v>6</v>
      </c>
      <c r="B41" s="178" t="s">
        <v>98</v>
      </c>
      <c r="C41" s="179"/>
      <c r="D41" s="179"/>
      <c r="E41" s="179"/>
    </row>
    <row r="42" spans="1:5">
      <c r="A42" s="33" t="s">
        <v>111</v>
      </c>
      <c r="B42" s="33" t="s">
        <v>103</v>
      </c>
      <c r="C42" s="33" t="s">
        <v>112</v>
      </c>
      <c r="D42" s="103" t="s">
        <v>15</v>
      </c>
      <c r="E42" s="104">
        <v>54</v>
      </c>
    </row>
    <row r="43" spans="1:5">
      <c r="A43" s="178" t="s">
        <v>856</v>
      </c>
      <c r="B43" s="179"/>
      <c r="C43" s="180"/>
      <c r="D43" s="108"/>
      <c r="E43" s="105"/>
    </row>
    <row r="44" spans="1:5">
      <c r="A44" s="108">
        <v>7</v>
      </c>
      <c r="B44" s="178" t="s">
        <v>857</v>
      </c>
      <c r="C44" s="179"/>
      <c r="D44" s="179"/>
      <c r="E44" s="179"/>
    </row>
    <row r="45" spans="1:5" ht="26.4">
      <c r="A45" s="33">
        <v>35</v>
      </c>
      <c r="B45" s="33" t="s">
        <v>859</v>
      </c>
      <c r="C45" s="33" t="s">
        <v>860</v>
      </c>
      <c r="D45" s="103" t="s">
        <v>16</v>
      </c>
      <c r="E45" s="104">
        <v>1</v>
      </c>
    </row>
    <row r="46" spans="1:5">
      <c r="A46" s="178" t="s">
        <v>858</v>
      </c>
      <c r="B46" s="179"/>
      <c r="C46" s="180"/>
      <c r="D46" s="140"/>
      <c r="E46" s="105"/>
    </row>
    <row r="47" spans="1:5" ht="12.75" customHeight="1">
      <c r="D47" s="223"/>
      <c r="E47" s="223"/>
    </row>
    <row r="48" spans="1:5" ht="12.75" customHeight="1">
      <c r="D48" s="223"/>
      <c r="E48" s="223"/>
    </row>
  </sheetData>
  <mergeCells count="18">
    <mergeCell ref="B37:E37"/>
    <mergeCell ref="A16:C16"/>
    <mergeCell ref="B17:E17"/>
    <mergeCell ref="A28:C28"/>
    <mergeCell ref="B29:E29"/>
    <mergeCell ref="A36:C36"/>
    <mergeCell ref="D48:E48"/>
    <mergeCell ref="A40:C40"/>
    <mergeCell ref="B41:E41"/>
    <mergeCell ref="A43:C43"/>
    <mergeCell ref="B44:E44"/>
    <mergeCell ref="A46:C46"/>
    <mergeCell ref="D47:E47"/>
    <mergeCell ref="D2:E2"/>
    <mergeCell ref="B6:E6"/>
    <mergeCell ref="A12:C12"/>
    <mergeCell ref="B13:E13"/>
    <mergeCell ref="A1:E1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ZAŁ1_BUd_korekta2017</vt:lpstr>
      <vt:lpstr>ZAŁ1_SAN_korekta 2017</vt:lpstr>
      <vt:lpstr>ZAŁ 1_ELEKTR_korekta2017</vt:lpstr>
      <vt:lpstr>ZAŁ 1_PODSUMOWANIE</vt:lpstr>
      <vt:lpstr>ZAŁ 3_podział robót ELE 2017</vt:lpstr>
    </vt:vector>
  </TitlesOfParts>
  <Company>Wroclawskie Mieszkania sp. z 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Dudek</dc:creator>
  <cp:lastModifiedBy>Stanisław Gliński</cp:lastModifiedBy>
  <cp:lastPrinted>2017-07-18T10:54:53Z</cp:lastPrinted>
  <dcterms:created xsi:type="dcterms:W3CDTF">2013-01-21T11:24:59Z</dcterms:created>
  <dcterms:modified xsi:type="dcterms:W3CDTF">2017-07-18T10:55:42Z</dcterms:modified>
</cp:coreProperties>
</file>